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108" yWindow="-12" windowWidth="11916" windowHeight="9840" tabRatio="802"/>
  </bookViews>
  <sheets>
    <sheet name="1. Coleta Dom" sheetId="2" r:id="rId1"/>
    <sheet name="2. Coleta Seletiva" sheetId="21" r:id="rId2"/>
    <sheet name="3. Contentores" sheetId="23" r:id="rId3"/>
    <sheet name="4. Destino Final" sheetId="18" r:id="rId4"/>
    <sheet name="Resumo" sheetId="19" r:id="rId5"/>
    <sheet name="5.Enc Sociais" sheetId="8" r:id="rId6"/>
    <sheet name="6.CAGED" sheetId="5" r:id="rId7"/>
    <sheet name="7.BDI" sheetId="4" r:id="rId8"/>
    <sheet name="Ton" sheetId="10" r:id="rId9"/>
    <sheet name="Horários" sheetId="11" r:id="rId10"/>
    <sheet name="Roteiros" sheetId="25" r:id="rId11"/>
    <sheet name="8. Depr" sheetId="6" r:id="rId12"/>
    <sheet name="9. Rem capital" sheetId="7" r:id="rId13"/>
    <sheet name="10. Dimens" sheetId="9" r:id="rId14"/>
  </sheets>
  <externalReferences>
    <externalReference r:id="rId15"/>
    <externalReference r:id="rId16"/>
    <externalReference r:id="rId17"/>
  </externalReferences>
  <definedNames>
    <definedName name="AbaDeprec">'8. Depr'!$A$1</definedName>
    <definedName name="AbaRemun" localSheetId="3">#REF!</definedName>
    <definedName name="AbaRemun" localSheetId="9">#REF!</definedName>
    <definedName name="AbaRemun" localSheetId="4">#REF!</definedName>
    <definedName name="AbaRemun" localSheetId="8">#REF!</definedName>
    <definedName name="AbaRemun">'9. Rem capital'!$A$1</definedName>
    <definedName name="_xlnm.Print_Area" localSheetId="0">'1. Coleta Dom'!$A$1:$F$315</definedName>
    <definedName name="_xlnm.Print_Area" localSheetId="1">'2. Coleta Seletiva'!$A$1:$F$314</definedName>
    <definedName name="_xlnm.Print_Area" localSheetId="2">'3. Contentores'!$A$1:$F$114</definedName>
    <definedName name="_xlnm.Print_Area" localSheetId="3">'4. Destino Final'!$A$1:$F$254</definedName>
    <definedName name="_xlnm.Print_Area" localSheetId="5">'5.Enc Sociais'!$A$1:$C$40</definedName>
    <definedName name="_xlnm.Print_Titles" localSheetId="0">'1. Coleta Dom'!$1:$8</definedName>
    <definedName name="_xlnm.Print_Titles" localSheetId="1">'2. Coleta Seletiva'!$1:$8</definedName>
    <definedName name="_xlnm.Print_Titles" localSheetId="2">'3. Contentores'!$1:$7</definedName>
    <definedName name="_xlnm.Print_Titles" localSheetId="3">'4. Destino Final'!#REF!</definedName>
  </definedNames>
  <calcPr calcId="124519"/>
</workbook>
</file>

<file path=xl/calcChain.xml><?xml version="1.0" encoding="utf-8"?>
<calcChain xmlns="http://schemas.openxmlformats.org/spreadsheetml/2006/main">
  <c r="Q30" i="25"/>
  <c r="Q12" l="1"/>
  <c r="D56"/>
  <c r="D41"/>
  <c r="J31" s="1"/>
  <c r="J34" s="1"/>
  <c r="Q21" s="1"/>
  <c r="J38"/>
  <c r="J41" s="1"/>
  <c r="Q23" s="1"/>
  <c r="O36"/>
  <c r="O23"/>
  <c r="D22"/>
  <c r="J7" s="1"/>
  <c r="J10" s="1"/>
  <c r="A22" i="23"/>
  <c r="E22"/>
  <c r="E23" s="1"/>
  <c r="E91"/>
  <c r="D92" s="1"/>
  <c r="E92" s="1"/>
  <c r="D83"/>
  <c r="D81"/>
  <c r="D79"/>
  <c r="D77"/>
  <c r="D75"/>
  <c r="C75"/>
  <c r="C81" s="1"/>
  <c r="E81" s="1"/>
  <c r="E67"/>
  <c r="E65"/>
  <c r="E64"/>
  <c r="E59"/>
  <c r="C58"/>
  <c r="C89" s="1"/>
  <c r="E89" s="1"/>
  <c r="D90" s="1"/>
  <c r="E90" s="1"/>
  <c r="E52"/>
  <c r="D47"/>
  <c r="E47" s="1"/>
  <c r="E43"/>
  <c r="C40"/>
  <c r="C39"/>
  <c r="E36"/>
  <c r="D39" s="1"/>
  <c r="C35"/>
  <c r="E31"/>
  <c r="C49" s="1"/>
  <c r="A17"/>
  <c r="A16"/>
  <c r="A15"/>
  <c r="A14"/>
  <c r="A13"/>
  <c r="J24" i="25" l="1"/>
  <c r="J27" s="1"/>
  <c r="Q19" s="1"/>
  <c r="Q29" s="1"/>
  <c r="Q7"/>
  <c r="J48"/>
  <c r="J51" s="1"/>
  <c r="Q36" s="1"/>
  <c r="Q38" s="1"/>
  <c r="Q39" s="1"/>
  <c r="J14"/>
  <c r="J17" s="1"/>
  <c r="Q10" s="1"/>
  <c r="C54" i="23"/>
  <c r="C50"/>
  <c r="D51" s="1"/>
  <c r="D84"/>
  <c r="F93"/>
  <c r="E16" s="1"/>
  <c r="D34"/>
  <c r="E34" s="1"/>
  <c r="D35" s="1"/>
  <c r="E35" s="1"/>
  <c r="E39"/>
  <c r="D40" s="1"/>
  <c r="E40" s="1"/>
  <c r="D63"/>
  <c r="E63" s="1"/>
  <c r="D66" s="1"/>
  <c r="E66" s="1"/>
  <c r="F67" s="1"/>
  <c r="E75"/>
  <c r="C79"/>
  <c r="E79" s="1"/>
  <c r="C83"/>
  <c r="E83" s="1"/>
  <c r="C77"/>
  <c r="E77" s="1"/>
  <c r="B235" i="21" l="1"/>
  <c r="Q13" i="25"/>
  <c r="B235" i="2" s="1"/>
  <c r="E41" i="23"/>
  <c r="D42" s="1"/>
  <c r="E42" s="1"/>
  <c r="F43" s="1"/>
  <c r="E14" s="1"/>
  <c r="E51"/>
  <c r="F85"/>
  <c r="C55"/>
  <c r="D56" s="1"/>
  <c r="E56" s="1"/>
  <c r="E57" l="1"/>
  <c r="D58" s="1"/>
  <c r="E58" s="1"/>
  <c r="F59" s="1"/>
  <c r="E15" s="1"/>
  <c r="E13" s="1"/>
  <c r="F95" l="1"/>
  <c r="D100" l="1"/>
  <c r="E276" i="21" l="1"/>
  <c r="D229" l="1"/>
  <c r="D229" i="2"/>
  <c r="D137" i="21" l="1"/>
  <c r="D137" i="2"/>
  <c r="D247" i="21"/>
  <c r="D247" i="2"/>
  <c r="E277" l="1"/>
  <c r="E276"/>
  <c r="C18" i="9"/>
  <c r="C22"/>
  <c r="C5" i="19"/>
  <c r="C4"/>
  <c r="J16" i="11"/>
  <c r="J15"/>
  <c r="J14"/>
  <c r="J8"/>
  <c r="J7"/>
  <c r="I8"/>
  <c r="I7"/>
  <c r="C225" i="18"/>
  <c r="D9" i="10"/>
  <c r="C239" i="21" l="1"/>
  <c r="E124"/>
  <c r="C286"/>
  <c r="E286" s="1"/>
  <c r="D287" s="1"/>
  <c r="E287" s="1"/>
  <c r="E278"/>
  <c r="E277"/>
  <c r="E275"/>
  <c r="E274"/>
  <c r="E273"/>
  <c r="C262"/>
  <c r="E262" s="1"/>
  <c r="E260"/>
  <c r="D249"/>
  <c r="D245"/>
  <c r="D243"/>
  <c r="D241"/>
  <c r="D239"/>
  <c r="C229"/>
  <c r="E229" s="1"/>
  <c r="C228"/>
  <c r="E228" s="1"/>
  <c r="C227"/>
  <c r="C222"/>
  <c r="C217"/>
  <c r="D216"/>
  <c r="D211"/>
  <c r="E211" s="1"/>
  <c r="C204"/>
  <c r="C203"/>
  <c r="C200"/>
  <c r="C216" s="1"/>
  <c r="E216" s="1"/>
  <c r="C199"/>
  <c r="C198"/>
  <c r="E195"/>
  <c r="C213" s="1"/>
  <c r="D227" s="1"/>
  <c r="D183"/>
  <c r="E183" s="1"/>
  <c r="D182"/>
  <c r="C182"/>
  <c r="D181"/>
  <c r="E181" s="1"/>
  <c r="C181"/>
  <c r="D180"/>
  <c r="C180"/>
  <c r="D179"/>
  <c r="E179" s="1"/>
  <c r="C179"/>
  <c r="D178"/>
  <c r="C178"/>
  <c r="D177"/>
  <c r="E177" s="1"/>
  <c r="C177"/>
  <c r="E170"/>
  <c r="E169"/>
  <c r="E168"/>
  <c r="E167"/>
  <c r="E166"/>
  <c r="E165"/>
  <c r="E164"/>
  <c r="E163"/>
  <c r="E162"/>
  <c r="E161"/>
  <c r="E160"/>
  <c r="D171" s="1"/>
  <c r="E149"/>
  <c r="D144"/>
  <c r="A144"/>
  <c r="A143"/>
  <c r="E138"/>
  <c r="D138"/>
  <c r="D136"/>
  <c r="A136"/>
  <c r="C131"/>
  <c r="C130"/>
  <c r="D119"/>
  <c r="C119"/>
  <c r="E119" s="1"/>
  <c r="D116"/>
  <c r="C116"/>
  <c r="E116" s="1"/>
  <c r="E114"/>
  <c r="D114"/>
  <c r="D113"/>
  <c r="C113"/>
  <c r="E113" s="1"/>
  <c r="D111"/>
  <c r="E111" s="1"/>
  <c r="D117" s="1"/>
  <c r="E117" s="1"/>
  <c r="D110"/>
  <c r="E110" s="1"/>
  <c r="C110"/>
  <c r="D108"/>
  <c r="E107"/>
  <c r="E120" s="1"/>
  <c r="D94"/>
  <c r="E94" s="1"/>
  <c r="D93"/>
  <c r="E93" s="1"/>
  <c r="E91"/>
  <c r="D131" s="1"/>
  <c r="C82"/>
  <c r="C80"/>
  <c r="C77"/>
  <c r="C74"/>
  <c r="D72"/>
  <c r="D80" s="1"/>
  <c r="E61"/>
  <c r="D61"/>
  <c r="E60"/>
  <c r="D62" s="1"/>
  <c r="E62" s="1"/>
  <c r="D60"/>
  <c r="E59"/>
  <c r="D130" s="1"/>
  <c r="E50"/>
  <c r="A50"/>
  <c r="E47"/>
  <c r="E46"/>
  <c r="A46"/>
  <c r="E45"/>
  <c r="C184" s="1"/>
  <c r="A45"/>
  <c r="E44"/>
  <c r="A44"/>
  <c r="E43"/>
  <c r="C143" s="1"/>
  <c r="E143" s="1"/>
  <c r="A43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D263" l="1"/>
  <c r="E263" s="1"/>
  <c r="D264" s="1"/>
  <c r="F279"/>
  <c r="F281" s="1"/>
  <c r="E35" s="1"/>
  <c r="E178"/>
  <c r="E180"/>
  <c r="E182"/>
  <c r="D250"/>
  <c r="D95"/>
  <c r="E95" s="1"/>
  <c r="D97" s="1"/>
  <c r="E97" s="1"/>
  <c r="D121"/>
  <c r="C249"/>
  <c r="E249" s="1"/>
  <c r="C243"/>
  <c r="E243" s="1"/>
  <c r="E239"/>
  <c r="C255"/>
  <c r="E255" s="1"/>
  <c r="F256" s="1"/>
  <c r="E33" s="1"/>
  <c r="C245"/>
  <c r="E245" s="1"/>
  <c r="C241"/>
  <c r="E80"/>
  <c r="E131"/>
  <c r="E130"/>
  <c r="F132" s="1"/>
  <c r="E22" s="1"/>
  <c r="D184"/>
  <c r="E184" s="1"/>
  <c r="D77"/>
  <c r="E77" s="1"/>
  <c r="D78"/>
  <c r="E78" s="1"/>
  <c r="C136"/>
  <c r="E136" s="1"/>
  <c r="C144"/>
  <c r="E144" s="1"/>
  <c r="C171"/>
  <c r="E171" s="1"/>
  <c r="E227"/>
  <c r="D230" s="1"/>
  <c r="E230" s="1"/>
  <c r="C264"/>
  <c r="C288"/>
  <c r="E288" s="1"/>
  <c r="D289" s="1"/>
  <c r="E289" s="1"/>
  <c r="D63"/>
  <c r="E63" s="1"/>
  <c r="E64"/>
  <c r="E72"/>
  <c r="D74"/>
  <c r="E74" s="1"/>
  <c r="D75"/>
  <c r="E75" s="1"/>
  <c r="C137"/>
  <c r="E137" s="1"/>
  <c r="D198"/>
  <c r="E198" s="1"/>
  <c r="E200"/>
  <c r="E264" l="1"/>
  <c r="F265" s="1"/>
  <c r="E34" s="1"/>
  <c r="E241"/>
  <c r="C247"/>
  <c r="E247" s="1"/>
  <c r="D199"/>
  <c r="E199" s="1"/>
  <c r="C214"/>
  <c r="D215" s="1"/>
  <c r="E215" s="1"/>
  <c r="C218"/>
  <c r="D203"/>
  <c r="E203" s="1"/>
  <c r="D204" s="1"/>
  <c r="E204" s="1"/>
  <c r="D65"/>
  <c r="F139"/>
  <c r="E23" s="1"/>
  <c r="E98"/>
  <c r="D82"/>
  <c r="E82" s="1"/>
  <c r="D81"/>
  <c r="E81" s="1"/>
  <c r="E83" s="1"/>
  <c r="F251" l="1"/>
  <c r="E32" s="1"/>
  <c r="D84"/>
  <c r="D99"/>
  <c r="C219"/>
  <c r="D220" s="1"/>
  <c r="E220" s="1"/>
  <c r="E221" s="1"/>
  <c r="D222" s="1"/>
  <c r="E222" s="1"/>
  <c r="E205"/>
  <c r="D206" s="1"/>
  <c r="E206" s="1"/>
  <c r="E124" i="2" l="1"/>
  <c r="D144" l="1"/>
  <c r="A25"/>
  <c r="E149"/>
  <c r="D138" l="1"/>
  <c r="D136"/>
  <c r="C130"/>
  <c r="A144"/>
  <c r="C131"/>
  <c r="A20" i="19"/>
  <c r="C9"/>
  <c r="E8"/>
  <c r="E7"/>
  <c r="E5"/>
  <c r="E4"/>
  <c r="E9" l="1"/>
  <c r="C233" i="18" l="1"/>
  <c r="E233" s="1"/>
  <c r="D234" s="1"/>
  <c r="E234" s="1"/>
  <c r="C214"/>
  <c r="E214" s="1"/>
  <c r="E212"/>
  <c r="D201"/>
  <c r="D199"/>
  <c r="D197"/>
  <c r="D195"/>
  <c r="D193"/>
  <c r="D202" s="1"/>
  <c r="C193"/>
  <c r="C183"/>
  <c r="E183" s="1"/>
  <c r="C182"/>
  <c r="E182" s="1"/>
  <c r="C181"/>
  <c r="C176"/>
  <c r="C171"/>
  <c r="D170"/>
  <c r="D165"/>
  <c r="E165" s="1"/>
  <c r="C158"/>
  <c r="C157"/>
  <c r="C154"/>
  <c r="C170" s="1"/>
  <c r="E170" s="1"/>
  <c r="C153"/>
  <c r="C152"/>
  <c r="E149"/>
  <c r="C167" s="1"/>
  <c r="E137"/>
  <c r="E136"/>
  <c r="E135"/>
  <c r="E134"/>
  <c r="E133"/>
  <c r="E132"/>
  <c r="E131"/>
  <c r="E124"/>
  <c r="E123"/>
  <c r="E122"/>
  <c r="E121"/>
  <c r="E120"/>
  <c r="E119"/>
  <c r="E118"/>
  <c r="E102"/>
  <c r="A102"/>
  <c r="A108" s="1"/>
  <c r="E101"/>
  <c r="F103" s="1"/>
  <c r="E17" s="1"/>
  <c r="A101"/>
  <c r="A107" s="1"/>
  <c r="E96"/>
  <c r="E95"/>
  <c r="F97" s="1"/>
  <c r="E16" s="1"/>
  <c r="E89"/>
  <c r="C86"/>
  <c r="D84"/>
  <c r="E84" s="1"/>
  <c r="E85" s="1"/>
  <c r="E73"/>
  <c r="D68"/>
  <c r="D66"/>
  <c r="C66"/>
  <c r="D64"/>
  <c r="C64"/>
  <c r="C63"/>
  <c r="D56"/>
  <c r="D54"/>
  <c r="C54"/>
  <c r="D52"/>
  <c r="D51"/>
  <c r="D61" s="1"/>
  <c r="D63" s="1"/>
  <c r="E81"/>
  <c r="E43"/>
  <c r="A43"/>
  <c r="E39"/>
  <c r="A39"/>
  <c r="E38"/>
  <c r="C138" s="1"/>
  <c r="A38"/>
  <c r="E37"/>
  <c r="A37"/>
  <c r="E36"/>
  <c r="C107" s="1"/>
  <c r="E107" s="1"/>
  <c r="A36"/>
  <c r="A30"/>
  <c r="A29"/>
  <c r="A28"/>
  <c r="A27"/>
  <c r="A26"/>
  <c r="A25"/>
  <c r="A24"/>
  <c r="A23"/>
  <c r="A22"/>
  <c r="A21"/>
  <c r="A20"/>
  <c r="A19"/>
  <c r="A18"/>
  <c r="A17"/>
  <c r="A16"/>
  <c r="A15"/>
  <c r="A14"/>
  <c r="E13"/>
  <c r="A13"/>
  <c r="E12"/>
  <c r="A12"/>
  <c r="A11"/>
  <c r="D215" l="1"/>
  <c r="E215" s="1"/>
  <c r="D216" s="1"/>
  <c r="D138"/>
  <c r="E138" s="1"/>
  <c r="D125"/>
  <c r="E125" s="1"/>
  <c r="D181"/>
  <c r="E181" s="1"/>
  <c r="D184" s="1"/>
  <c r="E184" s="1"/>
  <c r="E177"/>
  <c r="E161"/>
  <c r="E185"/>
  <c r="D86"/>
  <c r="E86" s="1"/>
  <c r="E87" s="1"/>
  <c r="D88" s="1"/>
  <c r="E88" s="1"/>
  <c r="F89" s="1"/>
  <c r="E15" s="1"/>
  <c r="C201"/>
  <c r="E201" s="1"/>
  <c r="C197"/>
  <c r="E197" s="1"/>
  <c r="E193"/>
  <c r="C207"/>
  <c r="E207" s="1"/>
  <c r="F208" s="1"/>
  <c r="E26" s="1"/>
  <c r="C199"/>
  <c r="E199" s="1"/>
  <c r="C195"/>
  <c r="E195" s="1"/>
  <c r="E40"/>
  <c r="D76"/>
  <c r="E76" s="1"/>
  <c r="E77" s="1"/>
  <c r="C108"/>
  <c r="E108" s="1"/>
  <c r="E109"/>
  <c r="E126"/>
  <c r="E139"/>
  <c r="C216"/>
  <c r="E216" s="1"/>
  <c r="F217" s="1"/>
  <c r="E27" s="1"/>
  <c r="C235"/>
  <c r="E235" s="1"/>
  <c r="D236" s="1"/>
  <c r="E236" s="1"/>
  <c r="F237" s="1"/>
  <c r="F239" s="1"/>
  <c r="E29" s="1"/>
  <c r="E237"/>
  <c r="D152"/>
  <c r="E152" s="1"/>
  <c r="E154"/>
  <c r="F109" l="1"/>
  <c r="E18" s="1"/>
  <c r="F139"/>
  <c r="F126"/>
  <c r="F141" s="1"/>
  <c r="E19" s="1"/>
  <c r="D153"/>
  <c r="E153" s="1"/>
  <c r="C168"/>
  <c r="D169" s="1"/>
  <c r="E169" s="1"/>
  <c r="D78"/>
  <c r="F203"/>
  <c r="E25" s="1"/>
  <c r="F185"/>
  <c r="E24" s="1"/>
  <c r="C172"/>
  <c r="D157"/>
  <c r="E157" s="1"/>
  <c r="D158" s="1"/>
  <c r="E158" s="1"/>
  <c r="C173" l="1"/>
  <c r="D174" s="1"/>
  <c r="E174" s="1"/>
  <c r="E175" s="1"/>
  <c r="D176" s="1"/>
  <c r="E176" s="1"/>
  <c r="F177" s="1"/>
  <c r="E23" s="1"/>
  <c r="E159"/>
  <c r="D160" s="1"/>
  <c r="E160" s="1"/>
  <c r="F161" s="1"/>
  <c r="F220" l="1"/>
  <c r="E20" s="1"/>
  <c r="E22"/>
  <c r="E21" l="1"/>
  <c r="E138" i="2" l="1"/>
  <c r="F57" i="11" l="1"/>
  <c r="F60" s="1"/>
  <c r="F62" s="1"/>
  <c r="F45"/>
  <c r="F48" s="1"/>
  <c r="F50" s="1"/>
  <c r="D7" i="10"/>
  <c r="C239" i="2" l="1"/>
  <c r="E225" i="18"/>
  <c r="F226" s="1"/>
  <c r="F228" s="1"/>
  <c r="F52" i="11"/>
  <c r="B53" i="21" s="1"/>
  <c r="F64" i="11"/>
  <c r="E102" i="21" s="1"/>
  <c r="E172" l="1"/>
  <c r="F172" s="1"/>
  <c r="E68"/>
  <c r="E87"/>
  <c r="E28" i="18"/>
  <c r="E151" i="21" l="1"/>
  <c r="F151" s="1"/>
  <c r="E25" s="1"/>
  <c r="D183" i="2"/>
  <c r="C182"/>
  <c r="C181"/>
  <c r="C180"/>
  <c r="C179"/>
  <c r="C178"/>
  <c r="C177"/>
  <c r="F33" i="11" l="1"/>
  <c r="F36" s="1"/>
  <c r="F38" s="1"/>
  <c r="F21"/>
  <c r="F24" s="1"/>
  <c r="E207" i="21" l="1"/>
  <c r="E185"/>
  <c r="F185" s="1"/>
  <c r="F187" s="1"/>
  <c r="E26" s="1"/>
  <c r="E145"/>
  <c r="F145" s="1"/>
  <c r="F40" i="11"/>
  <c r="E102" i="2"/>
  <c r="F26" i="11"/>
  <c r="F28" s="1"/>
  <c r="B53" i="2" l="1"/>
  <c r="E172" s="1"/>
  <c r="E24" i="21"/>
  <c r="E223"/>
  <c r="F207"/>
  <c r="E207" i="2"/>
  <c r="E223" s="1"/>
  <c r="E231" s="1"/>
  <c r="E291" s="1"/>
  <c r="E145"/>
  <c r="E185"/>
  <c r="E231" i="21" l="1"/>
  <c r="F223"/>
  <c r="E30" s="1"/>
  <c r="E29"/>
  <c r="E290" l="1"/>
  <c r="F290" s="1"/>
  <c r="F292" s="1"/>
  <c r="E36" s="1"/>
  <c r="F231"/>
  <c r="C27" i="5"/>
  <c r="E31" i="21" l="1"/>
  <c r="F268"/>
  <c r="C228" i="2"/>
  <c r="C227"/>
  <c r="C229"/>
  <c r="E27" i="21" l="1"/>
  <c r="E28"/>
  <c r="A37" i="2"/>
  <c r="A36"/>
  <c r="A35"/>
  <c r="A27"/>
  <c r="A26"/>
  <c r="A17"/>
  <c r="C15" i="9" l="1"/>
  <c r="C16" l="1"/>
  <c r="C23"/>
  <c r="C25" s="1"/>
  <c r="C198" i="2"/>
  <c r="C203"/>
  <c r="E46" l="1"/>
  <c r="E45"/>
  <c r="E44"/>
  <c r="E43"/>
  <c r="E50"/>
  <c r="C144" l="1"/>
  <c r="C137"/>
  <c r="E137" s="1"/>
  <c r="C222"/>
  <c r="C217"/>
  <c r="D249"/>
  <c r="D245"/>
  <c r="D243"/>
  <c r="D241"/>
  <c r="D177" l="1"/>
  <c r="E177" s="1"/>
  <c r="E161"/>
  <c r="E162"/>
  <c r="E163"/>
  <c r="E164"/>
  <c r="E165"/>
  <c r="E166"/>
  <c r="E167"/>
  <c r="E168"/>
  <c r="E169"/>
  <c r="E160"/>
  <c r="D61" l="1"/>
  <c r="E61" s="1"/>
  <c r="D60"/>
  <c r="E60" s="1"/>
  <c r="D93"/>
  <c r="E93" s="1"/>
  <c r="C113"/>
  <c r="D62" l="1"/>
  <c r="E62" s="1"/>
  <c r="C116"/>
  <c r="D94"/>
  <c r="E94" s="1"/>
  <c r="D95" s="1"/>
  <c r="E95" s="1"/>
  <c r="C80"/>
  <c r="C77"/>
  <c r="C264" l="1"/>
  <c r="D108"/>
  <c r="A34"/>
  <c r="A33"/>
  <c r="A32"/>
  <c r="A31"/>
  <c r="A30"/>
  <c r="A29"/>
  <c r="A28"/>
  <c r="A24"/>
  <c r="A23"/>
  <c r="A22"/>
  <c r="A21"/>
  <c r="A20"/>
  <c r="A19"/>
  <c r="A18"/>
  <c r="C21" i="8"/>
  <c r="E87" i="2"/>
  <c r="E68"/>
  <c r="E151" s="1"/>
  <c r="F151" s="1"/>
  <c r="E25" s="1"/>
  <c r="D211"/>
  <c r="C16" i="4"/>
  <c r="C21" s="1"/>
  <c r="F14"/>
  <c r="E14"/>
  <c r="D14"/>
  <c r="C18" i="8"/>
  <c r="C29" i="5"/>
  <c r="C119" i="2"/>
  <c r="C110"/>
  <c r="D113"/>
  <c r="E113" s="1"/>
  <c r="E91"/>
  <c r="D131" s="1"/>
  <c r="C262"/>
  <c r="E262" s="1"/>
  <c r="C241"/>
  <c r="D239"/>
  <c r="D250" s="1"/>
  <c r="E195"/>
  <c r="D216"/>
  <c r="C204"/>
  <c r="C199"/>
  <c r="C74"/>
  <c r="D72"/>
  <c r="C287"/>
  <c r="C289" s="1"/>
  <c r="E289" s="1"/>
  <c r="D290" s="1"/>
  <c r="E290" s="1"/>
  <c r="C200"/>
  <c r="C216" s="1"/>
  <c r="A43"/>
  <c r="A44"/>
  <c r="A45"/>
  <c r="A46"/>
  <c r="A50"/>
  <c r="E59"/>
  <c r="D130" s="1"/>
  <c r="C82"/>
  <c r="A136"/>
  <c r="A143" s="1"/>
  <c r="E170"/>
  <c r="D178"/>
  <c r="E178" s="1"/>
  <c r="D179"/>
  <c r="E179" s="1"/>
  <c r="D180"/>
  <c r="E180" s="1"/>
  <c r="D181"/>
  <c r="E181" s="1"/>
  <c r="D182"/>
  <c r="E182" s="1"/>
  <c r="E183"/>
  <c r="E260"/>
  <c r="E229"/>
  <c r="E228"/>
  <c r="E273"/>
  <c r="E278"/>
  <c r="E279"/>
  <c r="E274"/>
  <c r="E275"/>
  <c r="D97"/>
  <c r="E97" s="1"/>
  <c r="C299" i="21" l="1"/>
  <c r="C100" i="23"/>
  <c r="E100" s="1"/>
  <c r="F101" s="1"/>
  <c r="F103" s="1"/>
  <c r="E241" i="2"/>
  <c r="C247"/>
  <c r="E247" s="1"/>
  <c r="C246" i="18"/>
  <c r="C300" i="2"/>
  <c r="C31" i="5"/>
  <c r="C32" s="1"/>
  <c r="C30"/>
  <c r="C32" i="8" s="1"/>
  <c r="D198" i="2"/>
  <c r="D80"/>
  <c r="E80" s="1"/>
  <c r="D75"/>
  <c r="E75" s="1"/>
  <c r="E107"/>
  <c r="D111"/>
  <c r="E111" s="1"/>
  <c r="D114"/>
  <c r="E114" s="1"/>
  <c r="D116"/>
  <c r="E116" s="1"/>
  <c r="D110"/>
  <c r="E110" s="1"/>
  <c r="D78"/>
  <c r="E78" s="1"/>
  <c r="D77"/>
  <c r="E77" s="1"/>
  <c r="C245"/>
  <c r="E245" s="1"/>
  <c r="D74"/>
  <c r="E74" s="1"/>
  <c r="C249"/>
  <c r="E249" s="1"/>
  <c r="F280"/>
  <c r="F282" s="1"/>
  <c r="E35" s="1"/>
  <c r="E239"/>
  <c r="E72"/>
  <c r="E200"/>
  <c r="C218" s="1"/>
  <c r="D171"/>
  <c r="C136"/>
  <c r="E136" s="1"/>
  <c r="F139" s="1"/>
  <c r="C171"/>
  <c r="E47"/>
  <c r="C143"/>
  <c r="E143" s="1"/>
  <c r="E130"/>
  <c r="E216"/>
  <c r="E144"/>
  <c r="D63"/>
  <c r="E63" s="1"/>
  <c r="E64" s="1"/>
  <c r="D65" s="1"/>
  <c r="C184"/>
  <c r="C243"/>
  <c r="E243" s="1"/>
  <c r="C255"/>
  <c r="E255" s="1"/>
  <c r="F256" s="1"/>
  <c r="E33" s="1"/>
  <c r="E287"/>
  <c r="D288" s="1"/>
  <c r="E288" s="1"/>
  <c r="F291" s="1"/>
  <c r="F293" s="1"/>
  <c r="E36" s="1"/>
  <c r="E211"/>
  <c r="D263"/>
  <c r="E263" s="1"/>
  <c r="D264" s="1"/>
  <c r="E264" s="1"/>
  <c r="F265" s="1"/>
  <c r="E34" s="1"/>
  <c r="E131"/>
  <c r="E198"/>
  <c r="D184"/>
  <c r="E98"/>
  <c r="E17" i="23" l="1"/>
  <c r="F106"/>
  <c r="C31" i="8"/>
  <c r="C37" i="5"/>
  <c r="C28" i="8" s="1"/>
  <c r="C36" s="1"/>
  <c r="D199" i="2"/>
  <c r="E199" s="1"/>
  <c r="C213"/>
  <c r="C29" i="8"/>
  <c r="C20"/>
  <c r="C26" s="1"/>
  <c r="C35" s="1"/>
  <c r="D81" i="2"/>
  <c r="E81" s="1"/>
  <c r="D82" s="1"/>
  <c r="E82" s="1"/>
  <c r="D117"/>
  <c r="E117" s="1"/>
  <c r="D119" s="1"/>
  <c r="E119" s="1"/>
  <c r="E23"/>
  <c r="F145"/>
  <c r="E184"/>
  <c r="F185" s="1"/>
  <c r="E171"/>
  <c r="F172" s="1"/>
  <c r="D203"/>
  <c r="E203" s="1"/>
  <c r="D204" s="1"/>
  <c r="E204" s="1"/>
  <c r="F132"/>
  <c r="E22" s="1"/>
  <c r="F251"/>
  <c r="E32" s="1"/>
  <c r="D99"/>
  <c r="E18" i="23" l="1"/>
  <c r="F111"/>
  <c r="F6" i="19"/>
  <c r="C214" i="2"/>
  <c r="D215" s="1"/>
  <c r="E215" s="1"/>
  <c r="D227"/>
  <c r="E227" s="1"/>
  <c r="D230" s="1"/>
  <c r="E230" s="1"/>
  <c r="F231" s="1"/>
  <c r="E31" s="1"/>
  <c r="E24"/>
  <c r="C30" i="8"/>
  <c r="C33" s="1"/>
  <c r="C37"/>
  <c r="E205" i="2"/>
  <c r="D206" s="1"/>
  <c r="E206" s="1"/>
  <c r="F207" s="1"/>
  <c r="E29" s="1"/>
  <c r="C219"/>
  <c r="D220" s="1"/>
  <c r="E220" s="1"/>
  <c r="F187"/>
  <c r="E26" s="1"/>
  <c r="E120"/>
  <c r="D121" s="1"/>
  <c r="E83"/>
  <c r="F16" i="23" l="1"/>
  <c r="F14"/>
  <c r="F13"/>
  <c r="F15"/>
  <c r="G6" i="19"/>
  <c r="H6"/>
  <c r="F17" i="23"/>
  <c r="E221" i="2"/>
  <c r="D222" s="1"/>
  <c r="E222" s="1"/>
  <c r="F223" s="1"/>
  <c r="F268" s="1"/>
  <c r="E27" s="1"/>
  <c r="C38" i="8"/>
  <c r="D84" i="2"/>
  <c r="F18" i="23" l="1"/>
  <c r="E30" i="2"/>
  <c r="E28" s="1"/>
  <c r="C121" i="21"/>
  <c r="E121" s="1"/>
  <c r="E122" s="1"/>
  <c r="D123" s="1"/>
  <c r="E123" s="1"/>
  <c r="F124" s="1"/>
  <c r="C99"/>
  <c r="E99" s="1"/>
  <c r="E100" s="1"/>
  <c r="D101" s="1"/>
  <c r="E101" s="1"/>
  <c r="F102" s="1"/>
  <c r="E20" s="1"/>
  <c r="C84"/>
  <c r="E84" s="1"/>
  <c r="E85" s="1"/>
  <c r="D86" s="1"/>
  <c r="E86" s="1"/>
  <c r="F87" s="1"/>
  <c r="E19" s="1"/>
  <c r="C65"/>
  <c r="E65" s="1"/>
  <c r="E66" s="1"/>
  <c r="D67" s="1"/>
  <c r="E67" s="1"/>
  <c r="F68" s="1"/>
  <c r="E18" s="1"/>
  <c r="C78" i="18"/>
  <c r="E78" s="1"/>
  <c r="E79" s="1"/>
  <c r="D80" s="1"/>
  <c r="E80" s="1"/>
  <c r="F81" s="1"/>
  <c r="C99" i="2"/>
  <c r="C84"/>
  <c r="E84" s="1"/>
  <c r="E85" s="1"/>
  <c r="D86" s="1"/>
  <c r="E86" s="1"/>
  <c r="F87" s="1"/>
  <c r="E19" s="1"/>
  <c r="C65"/>
  <c r="E65" s="1"/>
  <c r="E66" s="1"/>
  <c r="D67" s="1"/>
  <c r="E67" s="1"/>
  <c r="F68" s="1"/>
  <c r="E18" s="1"/>
  <c r="C121"/>
  <c r="E121" s="1"/>
  <c r="E122" s="1"/>
  <c r="D123" s="1"/>
  <c r="E123" s="1"/>
  <c r="F124" s="1"/>
  <c r="E99"/>
  <c r="E100" s="1"/>
  <c r="D101" s="1"/>
  <c r="E101" s="1"/>
  <c r="F102" s="1"/>
  <c r="E20" s="1"/>
  <c r="E21" i="21" l="1"/>
  <c r="F153"/>
  <c r="E21" i="2"/>
  <c r="F153"/>
  <c r="F295" s="1"/>
  <c r="E14" i="18"/>
  <c r="F111"/>
  <c r="E17" i="21" l="1"/>
  <c r="F294"/>
  <c r="E11" i="18"/>
  <c r="F241"/>
  <c r="E17" i="2"/>
  <c r="D300"/>
  <c r="E300" s="1"/>
  <c r="F301" s="1"/>
  <c r="F303" s="1"/>
  <c r="E37" s="1"/>
  <c r="D299" i="21" l="1"/>
  <c r="E299" s="1"/>
  <c r="F300" s="1"/>
  <c r="F302" s="1"/>
  <c r="E37" s="1"/>
  <c r="E38" s="1"/>
  <c r="D246" i="18"/>
  <c r="E246" s="1"/>
  <c r="F247" s="1"/>
  <c r="F249" s="1"/>
  <c r="E30" s="1"/>
  <c r="E38" i="2"/>
  <c r="F306"/>
  <c r="F4" i="19" s="1"/>
  <c r="F32" i="21" l="1"/>
  <c r="F30"/>
  <c r="F27"/>
  <c r="F34"/>
  <c r="F22"/>
  <c r="F26"/>
  <c r="F29"/>
  <c r="F28"/>
  <c r="F33"/>
  <c r="F25"/>
  <c r="F31"/>
  <c r="F35"/>
  <c r="F23"/>
  <c r="F24"/>
  <c r="F36"/>
  <c r="F18"/>
  <c r="F19"/>
  <c r="F20"/>
  <c r="F21"/>
  <c r="F37"/>
  <c r="F17"/>
  <c r="F305"/>
  <c r="F17" i="2"/>
  <c r="F25"/>
  <c r="G4" i="19"/>
  <c r="H4"/>
  <c r="E31" i="18"/>
  <c r="F30" s="1"/>
  <c r="F252"/>
  <c r="F7" i="19" s="1"/>
  <c r="H7" s="1"/>
  <c r="F36" i="2"/>
  <c r="F311"/>
  <c r="F19"/>
  <c r="F26"/>
  <c r="F18"/>
  <c r="F24"/>
  <c r="F21"/>
  <c r="F27"/>
  <c r="F34"/>
  <c r="F33"/>
  <c r="F20"/>
  <c r="F28"/>
  <c r="F29"/>
  <c r="F30"/>
  <c r="F23"/>
  <c r="F31"/>
  <c r="F22"/>
  <c r="F35"/>
  <c r="F32"/>
  <c r="F37"/>
  <c r="G7" i="19" l="1"/>
  <c r="F38" i="21"/>
  <c r="F5" i="19"/>
  <c r="F310" i="21"/>
  <c r="E253" i="18"/>
  <c r="F20"/>
  <c r="F26"/>
  <c r="F16"/>
  <c r="F25"/>
  <c r="F29"/>
  <c r="F17"/>
  <c r="F19"/>
  <c r="F22"/>
  <c r="F24"/>
  <c r="F12"/>
  <c r="F18"/>
  <c r="F21"/>
  <c r="F15"/>
  <c r="F28"/>
  <c r="F27"/>
  <c r="F23"/>
  <c r="F13"/>
  <c r="F14"/>
  <c r="F11"/>
  <c r="F38" i="2"/>
  <c r="G5" i="19" l="1"/>
  <c r="H5"/>
  <c r="F31" i="18"/>
  <c r="F9" i="19"/>
  <c r="H9" l="1"/>
  <c r="G9"/>
  <c r="A21"/>
  <c r="F11"/>
</calcChain>
</file>

<file path=xl/comments1.xml><?xml version="1.0" encoding="utf-8"?>
<comments xmlns="http://schemas.openxmlformats.org/spreadsheetml/2006/main">
  <authors>
    <author>Clauber Bridi</author>
  </authors>
  <commentList>
    <comment ref="A15" authorId="0">
      <text>
        <r>
          <rPr>
            <sz val="9"/>
            <color indexed="81"/>
            <rFont val="Tahoma"/>
            <family val="2"/>
          </rPr>
          <t>Qualquer custo previsto no edital e não contemplado nesta planilha modelo deverá ser devidamente incluído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3" authorId="0">
      <text>
        <r>
          <rPr>
            <b/>
            <sz val="9"/>
            <color indexed="81"/>
            <rFont val="Tahoma"/>
            <family val="2"/>
          </rPr>
          <t>Informar o fator de utilização das equipes de coleta. 
Por exemplo:
Equipes com utilização integral = 100%
Equipes com utilização parcial = n° horas trabalhadas por semana /44 horas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0" authorId="0">
      <text>
        <r>
          <rPr>
            <sz val="9"/>
            <color indexed="81"/>
            <rFont val="Tahoma"/>
            <family val="2"/>
          </rPr>
          <t>Informar o número de horas extras trabalhadas nos domingos e feriados em horário diurno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1" authorId="0">
      <text>
        <r>
          <rPr>
            <sz val="9"/>
            <color indexed="81"/>
            <rFont val="Tahoma"/>
            <family val="2"/>
          </rPr>
          <t xml:space="preserve">Informar o número de horas extras trabalhadas em horário diurno de segunda a sábado 
</t>
        </r>
      </text>
    </comment>
    <comment ref="A62" authorId="0">
      <text>
        <r>
          <rPr>
            <sz val="9"/>
            <color indexed="81"/>
            <rFont val="Tahoma"/>
            <family val="2"/>
          </rPr>
          <t>Cálculo do descanso semanal remunerado incidente sobre as horas extras habitualmente prestadas. Considerada a média de 63 feriados + domingos e 302 dias trabalhados por ano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5" authorId="0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67" authorId="0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C73" authorId="0">
      <text>
        <r>
          <rPr>
            <sz val="9"/>
            <color indexed="81"/>
            <rFont val="Tahoma"/>
            <family val="2"/>
          </rPr>
          <t>Informar o número de horas noturnas trabalhadas no intervalo das 22:00h as 5:00h</t>
        </r>
      </text>
    </comment>
    <comment ref="C75" authorId="0">
      <text>
        <r>
          <rPr>
            <sz val="9"/>
            <color indexed="81"/>
            <rFont val="Tahoma"/>
            <family val="2"/>
          </rPr>
          <t>Informar o número de horas extras trabalhadas em horário diurno nos domingos e feriados</t>
        </r>
      </text>
    </comment>
    <comment ref="C76" authorId="0">
      <text>
        <r>
          <rPr>
            <sz val="9"/>
            <color indexed="81"/>
            <rFont val="Tahoma"/>
            <family val="2"/>
          </rPr>
          <t xml:space="preserve">Informar o número de horas extras trabalhadas em horário noturno (das 22:00h as 5h) nos domingos e feriados
</t>
        </r>
      </text>
    </comment>
    <comment ref="C78" authorId="0">
      <text>
        <r>
          <rPr>
            <sz val="9"/>
            <color indexed="81"/>
            <rFont val="Tahoma"/>
            <family val="2"/>
          </rPr>
          <t>Informar o número de horas extras trabalhadas em horário noturno de segunda à sábado</t>
        </r>
      </text>
    </comment>
    <comment ref="C79" authorId="0">
      <text>
        <r>
          <rPr>
            <sz val="9"/>
            <color indexed="81"/>
            <rFont val="Tahoma"/>
            <family val="2"/>
          </rPr>
          <t>Informar o número de horas extras trabalhadas em horário noturno (das 22:00h as 5h) de segunda a sábado</t>
        </r>
      </text>
    </comment>
    <comment ref="A81" authorId="0">
      <text>
        <r>
          <rPr>
            <sz val="9"/>
            <color indexed="81"/>
            <rFont val="Tahoma"/>
            <family val="2"/>
          </rPr>
          <t>Cálculo do descanso semanal remunerado incidente sobre as horas extras habitualmente prestadas. Considerados 63 feriados + domingos e 302 dias trabalhados por ano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4" authorId="0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86" authorId="0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D92" authorId="0">
      <text>
        <r>
          <rPr>
            <sz val="9"/>
            <color indexed="81"/>
            <rFont val="Tahoma"/>
            <family val="2"/>
          </rPr>
          <t>Informar o valor do salário Mínimo Nacional</t>
        </r>
      </text>
    </comment>
    <comment ref="C93" authorId="0">
      <text>
        <r>
          <rPr>
            <sz val="9"/>
            <color indexed="81"/>
            <rFont val="Tahoma"/>
            <family val="2"/>
          </rPr>
          <t>Informar o número de horas extras trabalhadas em horário diurno nos domingos e feriados</t>
        </r>
      </text>
    </comment>
    <comment ref="C94" authorId="0">
      <text>
        <r>
          <rPr>
            <sz val="9"/>
            <color indexed="81"/>
            <rFont val="Tahoma"/>
            <family val="2"/>
          </rPr>
          <t xml:space="preserve">Informar o número de horas extras trabalhadas em horário diurno de segunda a sábado 
</t>
        </r>
      </text>
    </comment>
    <comment ref="A95" authorId="0">
      <text>
        <r>
          <rPr>
            <sz val="9"/>
            <color indexed="81"/>
            <rFont val="Tahoma"/>
            <family val="2"/>
          </rPr>
          <t>Cálculo do descanso semanal remunerado incidente sobre as horas extras habitualmente prestadas. Considerada a média de 63 feriados + domingos e 302 dias trabalhados por ano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6" authorId="0">
      <text>
        <r>
          <rPr>
            <sz val="9"/>
            <color indexed="81"/>
            <rFont val="Tahoma"/>
            <family val="2"/>
          </rPr>
          <t xml:space="preserve">Informar 1 se a base de cálculo for o Salário Mínimo Nacional; Informar 2 se a base de cálculo for o Piso da Categoria; 
</t>
        </r>
      </text>
    </comment>
    <comment ref="C97" authorId="0">
      <text>
        <r>
          <rPr>
            <sz val="9"/>
            <color indexed="81"/>
            <rFont val="Tahoma"/>
            <family val="2"/>
          </rPr>
          <t>Percentual estabelecido nas Normas de Segurança de Trabalho ou pelo laudo de responsável técnico devidamente habilitado</t>
        </r>
      </text>
    </comment>
    <comment ref="C99" authorId="0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101" authorId="0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C109" authorId="0">
      <text>
        <r>
          <rPr>
            <sz val="9"/>
            <color indexed="81"/>
            <rFont val="Tahoma"/>
            <family val="2"/>
          </rPr>
          <t>Informar o número de horas noturnas trabalhadas no intervalo das 22:00h as 5:00h</t>
        </r>
      </text>
    </comment>
    <comment ref="C111" authorId="0">
      <text>
        <r>
          <rPr>
            <sz val="9"/>
            <color indexed="81"/>
            <rFont val="Tahoma"/>
            <family val="2"/>
          </rPr>
          <t>Informar o número de horas extras trabalhadas em horário noturno nos domingos e feriados</t>
        </r>
      </text>
    </comment>
    <comment ref="C112" authorId="0">
      <text>
        <r>
          <rPr>
            <sz val="9"/>
            <color indexed="81"/>
            <rFont val="Tahoma"/>
            <family val="2"/>
          </rPr>
          <t xml:space="preserve">Informar o número de horas extras trabalhadas em horário noturno (das 22:00h as 5h) nos domingos e feriados
</t>
        </r>
      </text>
    </comment>
    <comment ref="C114" authorId="0">
      <text>
        <r>
          <rPr>
            <sz val="9"/>
            <color indexed="81"/>
            <rFont val="Tahoma"/>
            <family val="2"/>
          </rPr>
          <t>Informar o número de horas extras trabalhadas em horário noturno de segunda à sábado</t>
        </r>
      </text>
    </comment>
    <comment ref="C115" authorId="0">
      <text>
        <r>
          <rPr>
            <sz val="9"/>
            <color indexed="81"/>
            <rFont val="Tahoma"/>
            <family val="2"/>
          </rPr>
          <t>Informar o número de horas extras trabalhadas em horário noturno (das 22:00h as 5h) de segunda a sábado</t>
        </r>
      </text>
    </comment>
    <comment ref="A117" authorId="0">
      <text>
        <r>
          <rPr>
            <sz val="9"/>
            <color indexed="81"/>
            <rFont val="Tahoma"/>
            <family val="2"/>
          </rPr>
          <t>Cálculo do descanso semanal remunerado incidente sobre as horas extras habitualmente prestadas. Considerados 63 feriados + domingos e 302 dias trabalhados por ano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18" authorId="0">
      <text>
        <r>
          <rPr>
            <sz val="9"/>
            <color indexed="81"/>
            <rFont val="Tahoma"/>
            <family val="2"/>
          </rPr>
          <t xml:space="preserve">Informar 1 se a base de cálculo for o Salário Mínimo Nacional; Informar 2 se a base de cálculo for o Piso da Categoria; 
</t>
        </r>
      </text>
    </comment>
    <comment ref="C121" authorId="0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123" authorId="0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D128" authorId="0">
      <text>
        <r>
          <rPr>
            <sz val="9"/>
            <color indexed="81"/>
            <rFont val="Tahoma"/>
            <family val="2"/>
          </rPr>
          <t>Informar o valor unitário do VT no município</t>
        </r>
      </text>
    </comment>
    <comment ref="C129" authorId="0">
      <text>
        <r>
          <rPr>
            <sz val="9"/>
            <color indexed="81"/>
            <rFont val="Tahoma"/>
            <family val="2"/>
          </rPr>
          <t>Informar o número médio de dias trabalhados por mês</t>
        </r>
      </text>
    </comment>
    <comment ref="D130" authorId="0">
      <text>
        <r>
          <rPr>
            <sz val="9"/>
            <color indexed="81"/>
            <rFont val="Tahoma"/>
            <family val="2"/>
          </rPr>
          <t>Valor Unitário considerando o desconto legal de até 6% do salário</t>
        </r>
      </text>
    </comment>
    <comment ref="D131" authorId="0">
      <text>
        <r>
          <rPr>
            <sz val="9"/>
            <color indexed="81"/>
            <rFont val="Tahoma"/>
            <family val="2"/>
          </rPr>
          <t xml:space="preserve">Valor Unitário considerando o desconto legal de até 6% do salário
</t>
        </r>
      </text>
    </comment>
    <comment ref="D136" authorId="0">
      <text>
        <r>
          <rPr>
            <sz val="9"/>
            <color indexed="81"/>
            <rFont val="Tahoma"/>
            <family val="2"/>
          </rPr>
          <t>Informar o valor unitário diário do vale refeição, considerando o desconto aplicável ao funcionário, conforme Convenção Coletiva da categoria.</t>
        </r>
      </text>
    </comment>
    <comment ref="D137" authorId="0">
      <text>
        <r>
          <rPr>
            <sz val="9"/>
            <color indexed="81"/>
            <rFont val="Tahoma"/>
            <family val="2"/>
          </rPr>
          <t>Informar o valor unitário diário do vale refeição, considerando o desconto aplicável ao funcionário, conforme Convenção Coletiva da categoria.</t>
        </r>
      </text>
    </comment>
    <comment ref="D138" authorId="0">
      <text>
        <r>
          <rPr>
            <sz val="9"/>
            <color indexed="81"/>
            <rFont val="Tahoma"/>
            <family val="2"/>
          </rPr>
          <t>Informar o valor unitário diário do vale refeição, considerando o desconto aplicável ao funcionário, conforme Convenção Coletiva da categoria.</t>
        </r>
      </text>
    </comment>
    <comment ref="D143" authorId="0">
      <text>
        <r>
          <rPr>
            <sz val="9"/>
            <color indexed="81"/>
            <rFont val="Tahoma"/>
            <family val="2"/>
          </rPr>
          <t>Informar o valor mensal do auxilio alimentação, considerando o desconto aplicável ao funcionário, conforme Convenção Coletiva da categoria</t>
        </r>
      </text>
    </comment>
    <comment ref="D144" authorId="0">
      <text>
        <r>
          <rPr>
            <sz val="9"/>
            <color indexed="81"/>
            <rFont val="Tahoma"/>
            <family val="2"/>
          </rPr>
          <t>Informar o valor mensal do auxilio alimentação, considerando o desconto aplicável ao funcionário, conforme Convenção Coletiva da categoria</t>
        </r>
      </text>
    </comment>
    <comment ref="C177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78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79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80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81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82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83" authorId="0">
      <text>
        <r>
          <rPr>
            <sz val="9"/>
            <color indexed="81"/>
            <rFont val="Tahoma"/>
            <family val="2"/>
          </rPr>
          <t>Informar o valor mensal de higienização de uniforme para 1 funcionário</t>
        </r>
      </text>
    </comment>
    <comment ref="D195" authorId="0">
      <text>
        <r>
          <rPr>
            <sz val="9"/>
            <color indexed="81"/>
            <rFont val="Tahoma"/>
            <family val="2"/>
          </rPr>
          <t>Informar o preço unitário do chassis do caminhão de coleta</t>
        </r>
      </text>
    </comment>
    <comment ref="C196" authorId="0">
      <text>
        <r>
          <rPr>
            <sz val="9"/>
            <color indexed="81"/>
            <rFont val="Tahoma"/>
            <family val="2"/>
          </rPr>
          <t>Informar a vida útil estimada para o caminhão, em anos</t>
        </r>
      </text>
    </comment>
    <comment ref="C197" authorId="0">
      <text>
        <r>
          <rPr>
            <sz val="9"/>
            <color indexed="81"/>
            <rFont val="Tahoma"/>
            <family val="2"/>
          </rPr>
          <t>Na elaboração do orçamento-base da licitação, informar 0 (zero). Na proposta da licitante, informar a idade do veículo proposto.</t>
        </r>
      </text>
    </comment>
    <comment ref="C198" authorId="0">
      <text>
        <r>
          <rPr>
            <b/>
            <sz val="9"/>
            <color indexed="81"/>
            <rFont val="Tahoma"/>
            <family val="2"/>
          </rPr>
          <t xml:space="preserve">Informar o valor da depreciação do caminhão, adotando o valor sugerido pelo TCE ou outro valor estimado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0" authorId="0">
      <text>
        <r>
          <rPr>
            <sz val="9"/>
            <color indexed="81"/>
            <rFont val="Tahoma"/>
            <family val="2"/>
          </rPr>
          <t xml:space="preserve">Informar o preço unitário do equipamento compactador
</t>
        </r>
      </text>
    </comment>
    <comment ref="C201" authorId="0">
      <text>
        <r>
          <rPr>
            <sz val="9"/>
            <color indexed="81"/>
            <rFont val="Tahoma"/>
            <family val="2"/>
          </rPr>
          <t>Informar a vida útil estimada para o compactador, em anos</t>
        </r>
      </text>
    </comment>
    <comment ref="C202" authorId="0">
      <text>
        <r>
          <rPr>
            <sz val="9"/>
            <color indexed="81"/>
            <rFont val="Tahoma"/>
            <family val="2"/>
          </rPr>
          <t>Na elaboração do orçamento-base da licitação, informar 0 (zero). Na proposta da licitante, informar a idade do compactador proposto.</t>
        </r>
      </text>
    </comment>
    <comment ref="C203" authorId="0">
      <text>
        <r>
          <rPr>
            <b/>
            <sz val="9"/>
            <color indexed="81"/>
            <rFont val="Tahoma"/>
            <family val="2"/>
          </rPr>
          <t xml:space="preserve">Informar o valor da depreciação do compactador, adotando o valor sugerido pelo TCE ou outro valor estimado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06" authorId="0">
      <text>
        <r>
          <rPr>
            <sz val="9"/>
            <color indexed="81"/>
            <rFont val="Tahoma"/>
            <family val="2"/>
          </rPr>
          <t>Informar a quantidade de caminhões compactadores do respectivo modelo</t>
        </r>
      </text>
    </comment>
    <comment ref="C212" authorId="0">
      <text>
        <r>
          <rPr>
            <b/>
            <sz val="9"/>
            <color indexed="81"/>
            <rFont val="Tahoma"/>
            <family val="2"/>
          </rPr>
          <t>Informar a taxa de juros anual para remuneração do capital. Recomenda-se o uso da Taxa SELIC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8" authorId="0">
      <text>
        <r>
          <rPr>
            <sz val="9"/>
            <color indexed="81"/>
            <rFont val="Tahoma"/>
            <family val="2"/>
          </rPr>
          <t xml:space="preserve">Informar o valor do seguro obrigatório e licenciamento anual de um caminhão
</t>
        </r>
      </text>
    </comment>
    <comment ref="D229" authorId="0">
      <text>
        <r>
          <rPr>
            <sz val="9"/>
            <color indexed="81"/>
            <rFont val="Tahoma"/>
            <family val="2"/>
          </rPr>
          <t xml:space="preserve">Informar o valor do seguro contra terceiros de um caminhão, se houver previsão no Projeto Básico
</t>
        </r>
      </text>
    </comment>
    <comment ref="B235" authorId="0">
      <text>
        <r>
          <rPr>
            <sz val="9"/>
            <color indexed="81"/>
            <rFont val="Tahoma"/>
            <family val="2"/>
          </rPr>
          <t xml:space="preserve">Informar a quilometragem mensal percorrida, de acordo com o projeto básico
</t>
        </r>
      </text>
    </comment>
    <comment ref="C238" authorId="0">
      <text>
        <r>
          <rPr>
            <sz val="9"/>
            <color indexed="81"/>
            <rFont val="Tahoma"/>
            <family val="2"/>
          </rPr>
          <t>Informar o consumo estimado do veículo em km/l</t>
        </r>
      </text>
    </comment>
    <comment ref="D238" authorId="0">
      <text>
        <r>
          <rPr>
            <sz val="9"/>
            <color indexed="81"/>
            <rFont val="Tahoma"/>
            <family val="2"/>
          </rPr>
          <t xml:space="preserve">Informar o preço unitário do combustivel
</t>
        </r>
      </text>
    </comment>
    <comment ref="C240" authorId="0">
      <text>
        <r>
          <rPr>
            <sz val="9"/>
            <color indexed="81"/>
            <rFont val="Tahoma"/>
            <family val="2"/>
          </rPr>
          <t>Informar o consumo de óleo do motor a cada 1000km</t>
        </r>
      </text>
    </comment>
    <comment ref="D240" authorId="0">
      <text>
        <r>
          <rPr>
            <sz val="9"/>
            <color indexed="81"/>
            <rFont val="Tahoma"/>
            <family val="2"/>
          </rPr>
          <t xml:space="preserve">Informar o preço unitário do litro do óleo do motor
</t>
        </r>
      </text>
    </comment>
    <comment ref="C242" authorId="0">
      <text>
        <r>
          <rPr>
            <sz val="9"/>
            <color indexed="81"/>
            <rFont val="Tahoma"/>
            <family val="2"/>
          </rPr>
          <t>Informar o consumo de óleo da transmissão a cada 1000km</t>
        </r>
      </text>
    </comment>
    <comment ref="D242" authorId="0">
      <text>
        <r>
          <rPr>
            <sz val="9"/>
            <color indexed="81"/>
            <rFont val="Tahoma"/>
            <family val="2"/>
          </rPr>
          <t xml:space="preserve">Informar o preço unitário do litro do óleo da transmissão
</t>
        </r>
      </text>
    </comment>
    <comment ref="C244" authorId="0">
      <text>
        <r>
          <rPr>
            <sz val="9"/>
            <color indexed="81"/>
            <rFont val="Tahoma"/>
            <family val="2"/>
          </rPr>
          <t>Informar o consumo de óleo hidráulico a cada 1000km</t>
        </r>
      </text>
    </comment>
    <comment ref="D244" authorId="0">
      <text>
        <r>
          <rPr>
            <sz val="9"/>
            <color indexed="81"/>
            <rFont val="Tahoma"/>
            <family val="2"/>
          </rPr>
          <t xml:space="preserve">Informar o preço unitário do litro do óleo hidráulico
</t>
        </r>
      </text>
    </comment>
    <comment ref="C246" authorId="0">
      <text>
        <r>
          <rPr>
            <sz val="9"/>
            <color indexed="81"/>
            <rFont val="Tahoma"/>
            <family val="2"/>
          </rPr>
          <t>Informar o consumo de óleo hidráulico a cada 1000km</t>
        </r>
      </text>
    </comment>
    <comment ref="D246" authorId="0">
      <text>
        <r>
          <rPr>
            <sz val="9"/>
            <color indexed="81"/>
            <rFont val="Tahoma"/>
            <family val="2"/>
          </rPr>
          <t xml:space="preserve">Informar o preço unitário do litro do óleo hidráulico
</t>
        </r>
      </text>
    </comment>
    <comment ref="C248" authorId="0">
      <text>
        <r>
          <rPr>
            <sz val="9"/>
            <color indexed="81"/>
            <rFont val="Tahoma"/>
            <family val="2"/>
          </rPr>
          <t>Informar o consumo de graxa a cada 1000km</t>
        </r>
      </text>
    </comment>
    <comment ref="D248" authorId="0">
      <text>
        <r>
          <rPr>
            <sz val="9"/>
            <color indexed="81"/>
            <rFont val="Tahoma"/>
            <family val="2"/>
          </rPr>
          <t xml:space="preserve">Informar o preço unitário do litro da graxa
</t>
        </r>
      </text>
    </comment>
    <comment ref="D255" authorId="0">
      <text>
        <r>
          <rPr>
            <sz val="9"/>
            <color indexed="81"/>
            <rFont val="Tahoma"/>
            <family val="2"/>
          </rPr>
          <t xml:space="preserve">Informar o custo de manutenção em R$/km rodado
</t>
        </r>
      </text>
    </comment>
    <comment ref="C260" authorId="0">
      <text>
        <r>
          <rPr>
            <sz val="9"/>
            <color indexed="81"/>
            <rFont val="Tahoma"/>
            <family val="2"/>
          </rPr>
          <t>Informar a quantidade de pneus novos de 1 caminhão</t>
        </r>
      </text>
    </comment>
    <comment ref="D260" authorId="0">
      <text>
        <r>
          <rPr>
            <sz val="9"/>
            <color indexed="81"/>
            <rFont val="Tahoma"/>
            <family val="2"/>
          </rPr>
          <t xml:space="preserve">Informar o preço unitário de cada pneu
</t>
        </r>
      </text>
    </comment>
    <comment ref="C261" authorId="0">
      <text>
        <r>
          <rPr>
            <sz val="9"/>
            <color indexed="81"/>
            <rFont val="Tahoma"/>
            <family val="2"/>
          </rPr>
          <t>Informar o número de recapagens por pneu</t>
        </r>
      </text>
    </comment>
    <comment ref="D262" authorId="0">
      <text>
        <r>
          <rPr>
            <sz val="9"/>
            <color indexed="81"/>
            <rFont val="Tahoma"/>
            <family val="2"/>
          </rPr>
          <t xml:space="preserve">Informar o preço unitário de cada recapagem
</t>
        </r>
      </text>
    </comment>
    <comment ref="C263" authorId="0">
      <text>
        <r>
          <rPr>
            <sz val="9"/>
            <color indexed="81"/>
            <rFont val="Tahoma"/>
            <family val="2"/>
          </rPr>
          <t xml:space="preserve">Informar a durabilidade média dos pneus considerando as recapagens, em km
</t>
        </r>
      </text>
    </comment>
    <comment ref="C273" authorId="0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73" author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C274" authorId="0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74" author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C275" authorId="0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75" author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C278" authorId="0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78" author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C279" authorId="0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79" author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A284" authorId="0">
      <text>
        <r>
          <rPr>
            <b/>
            <sz val="9"/>
            <color indexed="81"/>
            <rFont val="Tahoma"/>
            <family val="2"/>
          </rPr>
          <t>Especificar somente quando for exigido no Projeto Básico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87" authorId="0">
      <text>
        <r>
          <rPr>
            <sz val="9"/>
            <color indexed="81"/>
            <rFont val="Tahoma"/>
            <family val="2"/>
          </rPr>
          <t>Informar o valor total para instalação do equipamento de monitoramento da frota, se houver previsão no Projeto Básico</t>
        </r>
      </text>
    </comment>
    <comment ref="D289" authorId="0">
      <text>
        <r>
          <rPr>
            <sz val="9"/>
            <color indexed="81"/>
            <rFont val="Tahoma"/>
            <family val="2"/>
          </rPr>
          <t>Informar o valor unitário mensal para manutenção dos equipamentos de monitoramento</t>
        </r>
      </text>
    </comment>
    <comment ref="C300" authorId="0">
      <text>
        <r>
          <rPr>
            <sz val="9"/>
            <color indexed="81"/>
            <rFont val="Tahoma"/>
            <family val="2"/>
          </rPr>
          <t>Preencher a aba 4.BDI</t>
        </r>
      </text>
    </comment>
    <comment ref="D309" authorId="0">
      <text>
        <r>
          <rPr>
            <sz val="9"/>
            <color indexed="81"/>
            <rFont val="Tahoma"/>
            <family val="2"/>
          </rPr>
          <t xml:space="preserve">Informar a quantidade média coletada nos últimos 12 meses
</t>
        </r>
      </text>
    </comment>
  </commentList>
</comments>
</file>

<file path=xl/comments2.xml><?xml version="1.0" encoding="utf-8"?>
<comments xmlns="http://schemas.openxmlformats.org/spreadsheetml/2006/main">
  <authors>
    <author>Clauber Bridi</author>
  </authors>
  <commentList>
    <comment ref="A15" authorId="0">
      <text>
        <r>
          <rPr>
            <sz val="9"/>
            <color indexed="81"/>
            <rFont val="Tahoma"/>
            <family val="2"/>
          </rPr>
          <t>Qualquer custo previsto no edital e não contemplado nesta planilha modelo deverá ser devidamente incluído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3" authorId="0">
      <text>
        <r>
          <rPr>
            <b/>
            <sz val="9"/>
            <color indexed="81"/>
            <rFont val="Tahoma"/>
            <family val="2"/>
          </rPr>
          <t>Informar o fator de utilização das equipes de coleta. 
Por exemplo:
Equipes com utilização integral = 100%
Equipes com utilização parcial = n° horas trabalhadas por semana /44 horas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0" authorId="0">
      <text>
        <r>
          <rPr>
            <sz val="9"/>
            <color indexed="81"/>
            <rFont val="Tahoma"/>
            <family val="2"/>
          </rPr>
          <t>Informar o número de horas extras trabalhadas nos domingos e feriados em horário diurno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1" authorId="0">
      <text>
        <r>
          <rPr>
            <sz val="9"/>
            <color indexed="81"/>
            <rFont val="Tahoma"/>
            <family val="2"/>
          </rPr>
          <t xml:space="preserve">Informar o número de horas extras trabalhadas em horário diurno de segunda a sábado 
</t>
        </r>
      </text>
    </comment>
    <comment ref="A62" authorId="0">
      <text>
        <r>
          <rPr>
            <sz val="9"/>
            <color indexed="81"/>
            <rFont val="Tahoma"/>
            <family val="2"/>
          </rPr>
          <t>Cálculo do descanso semanal remunerado incidente sobre as horas extras habitualmente prestadas. Considerada a média de 63 feriados + domingos e 302 dias trabalhados por ano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5" authorId="0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67" authorId="0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C73" authorId="0">
      <text>
        <r>
          <rPr>
            <sz val="9"/>
            <color indexed="81"/>
            <rFont val="Tahoma"/>
            <family val="2"/>
          </rPr>
          <t>Informar o número de horas noturnas trabalhadas no intervalo das 22:00h as 5:00h</t>
        </r>
      </text>
    </comment>
    <comment ref="C75" authorId="0">
      <text>
        <r>
          <rPr>
            <sz val="9"/>
            <color indexed="81"/>
            <rFont val="Tahoma"/>
            <family val="2"/>
          </rPr>
          <t>Informar o número de horas extras trabalhadas em horário diurno nos domingos e feriados</t>
        </r>
      </text>
    </comment>
    <comment ref="C76" authorId="0">
      <text>
        <r>
          <rPr>
            <sz val="9"/>
            <color indexed="81"/>
            <rFont val="Tahoma"/>
            <family val="2"/>
          </rPr>
          <t xml:space="preserve">Informar o número de horas extras trabalhadas em horário noturno (das 22:00h as 5h) nos domingos e feriados
</t>
        </r>
      </text>
    </comment>
    <comment ref="C78" authorId="0">
      <text>
        <r>
          <rPr>
            <sz val="9"/>
            <color indexed="81"/>
            <rFont val="Tahoma"/>
            <family val="2"/>
          </rPr>
          <t>Informar o número de horas extras trabalhadas em horário noturno de segunda à sábado</t>
        </r>
      </text>
    </comment>
    <comment ref="C79" authorId="0">
      <text>
        <r>
          <rPr>
            <sz val="9"/>
            <color indexed="81"/>
            <rFont val="Tahoma"/>
            <family val="2"/>
          </rPr>
          <t>Informar o número de horas extras trabalhadas em horário noturno (das 22:00h as 5h) de segunda a sábado</t>
        </r>
      </text>
    </comment>
    <comment ref="A81" authorId="0">
      <text>
        <r>
          <rPr>
            <sz val="9"/>
            <color indexed="81"/>
            <rFont val="Tahoma"/>
            <family val="2"/>
          </rPr>
          <t>Cálculo do descanso semanal remunerado incidente sobre as horas extras habitualmente prestadas. Considerados 63 feriados + domingos e 302 dias trabalhados por ano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4" authorId="0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86" authorId="0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D92" authorId="0">
      <text>
        <r>
          <rPr>
            <sz val="9"/>
            <color indexed="81"/>
            <rFont val="Tahoma"/>
            <family val="2"/>
          </rPr>
          <t>Informar o valor do salário Mínimo Nacional</t>
        </r>
      </text>
    </comment>
    <comment ref="C93" authorId="0">
      <text>
        <r>
          <rPr>
            <sz val="9"/>
            <color indexed="81"/>
            <rFont val="Tahoma"/>
            <family val="2"/>
          </rPr>
          <t>Informar o número de horas extras trabalhadas em horário diurno nos domingos e feriados</t>
        </r>
      </text>
    </comment>
    <comment ref="C94" authorId="0">
      <text>
        <r>
          <rPr>
            <sz val="9"/>
            <color indexed="81"/>
            <rFont val="Tahoma"/>
            <family val="2"/>
          </rPr>
          <t xml:space="preserve">Informar o número de horas extras trabalhadas em horário diurno de segunda a sábado 
</t>
        </r>
      </text>
    </comment>
    <comment ref="A95" authorId="0">
      <text>
        <r>
          <rPr>
            <sz val="9"/>
            <color indexed="81"/>
            <rFont val="Tahoma"/>
            <family val="2"/>
          </rPr>
          <t>Cálculo do descanso semanal remunerado incidente sobre as horas extras habitualmente prestadas. Considerada a média de 63 feriados + domingos e 302 dias trabalhados por ano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6" authorId="0">
      <text>
        <r>
          <rPr>
            <sz val="9"/>
            <color indexed="81"/>
            <rFont val="Tahoma"/>
            <family val="2"/>
          </rPr>
          <t xml:space="preserve">Informar 1 se a base de cálculo for o Salário Mínimo Nacional; Informar 2 se a base de cálculo for o Piso da Categoria; 
</t>
        </r>
      </text>
    </comment>
    <comment ref="C97" authorId="0">
      <text>
        <r>
          <rPr>
            <sz val="9"/>
            <color indexed="81"/>
            <rFont val="Tahoma"/>
            <family val="2"/>
          </rPr>
          <t>Percentual estabelecido nas Normas de Segurança de Trabalho ou pelo laudo de responsável técnico devidamente habilitado</t>
        </r>
      </text>
    </comment>
    <comment ref="C99" authorId="0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101" authorId="0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C109" authorId="0">
      <text>
        <r>
          <rPr>
            <sz val="9"/>
            <color indexed="81"/>
            <rFont val="Tahoma"/>
            <family val="2"/>
          </rPr>
          <t>Informar o número de horas noturnas trabalhadas no intervalo das 22:00h as 5:00h</t>
        </r>
      </text>
    </comment>
    <comment ref="C111" authorId="0">
      <text>
        <r>
          <rPr>
            <sz val="9"/>
            <color indexed="81"/>
            <rFont val="Tahoma"/>
            <family val="2"/>
          </rPr>
          <t>Informar o número de horas extras trabalhadas em horário noturno nos domingos e feriados</t>
        </r>
      </text>
    </comment>
    <comment ref="C112" authorId="0">
      <text>
        <r>
          <rPr>
            <sz val="9"/>
            <color indexed="81"/>
            <rFont val="Tahoma"/>
            <family val="2"/>
          </rPr>
          <t xml:space="preserve">Informar o número de horas extras trabalhadas em horário noturno (das 22:00h as 5h) nos domingos e feriados
</t>
        </r>
      </text>
    </comment>
    <comment ref="C114" authorId="0">
      <text>
        <r>
          <rPr>
            <sz val="9"/>
            <color indexed="81"/>
            <rFont val="Tahoma"/>
            <family val="2"/>
          </rPr>
          <t>Informar o número de horas extras trabalhadas em horário noturno de segunda à sábado</t>
        </r>
      </text>
    </comment>
    <comment ref="C115" authorId="0">
      <text>
        <r>
          <rPr>
            <sz val="9"/>
            <color indexed="81"/>
            <rFont val="Tahoma"/>
            <family val="2"/>
          </rPr>
          <t>Informar o número de horas extras trabalhadas em horário noturno (das 22:00h as 5h) de segunda a sábado</t>
        </r>
      </text>
    </comment>
    <comment ref="A117" authorId="0">
      <text>
        <r>
          <rPr>
            <sz val="9"/>
            <color indexed="81"/>
            <rFont val="Tahoma"/>
            <family val="2"/>
          </rPr>
          <t>Cálculo do descanso semanal remunerado incidente sobre as horas extras habitualmente prestadas. Considerados 63 feriados + domingos e 302 dias trabalhados por ano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18" authorId="0">
      <text>
        <r>
          <rPr>
            <sz val="9"/>
            <color indexed="81"/>
            <rFont val="Tahoma"/>
            <family val="2"/>
          </rPr>
          <t xml:space="preserve">Informar 1 se a base de cálculo for o Salário Mínimo Nacional; Informar 2 se a base de cálculo for o Piso da Categoria; 
</t>
        </r>
      </text>
    </comment>
    <comment ref="C121" authorId="0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123" authorId="0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D128" authorId="0">
      <text>
        <r>
          <rPr>
            <sz val="9"/>
            <color indexed="81"/>
            <rFont val="Tahoma"/>
            <family val="2"/>
          </rPr>
          <t>Informar o valor unitário do VT no município</t>
        </r>
      </text>
    </comment>
    <comment ref="C129" authorId="0">
      <text>
        <r>
          <rPr>
            <sz val="9"/>
            <color indexed="81"/>
            <rFont val="Tahoma"/>
            <family val="2"/>
          </rPr>
          <t>Informar o número médio de dias trabalhados por mês</t>
        </r>
      </text>
    </comment>
    <comment ref="D130" authorId="0">
      <text>
        <r>
          <rPr>
            <sz val="9"/>
            <color indexed="81"/>
            <rFont val="Tahoma"/>
            <family val="2"/>
          </rPr>
          <t>Valor Unitário considerando o desconto legal de até 6% do salário</t>
        </r>
      </text>
    </comment>
    <comment ref="D131" authorId="0">
      <text>
        <r>
          <rPr>
            <sz val="9"/>
            <color indexed="81"/>
            <rFont val="Tahoma"/>
            <family val="2"/>
          </rPr>
          <t xml:space="preserve">Valor Unitário considerando o desconto legal de até 6% do salário
</t>
        </r>
      </text>
    </comment>
    <comment ref="D136" authorId="0">
      <text>
        <r>
          <rPr>
            <sz val="9"/>
            <color indexed="81"/>
            <rFont val="Tahoma"/>
            <family val="2"/>
          </rPr>
          <t>Informar o valor unitário diário do vale refeição, considerando o desconto aplicável ao funcionário, conforme Convenção Coletiva da categoria.</t>
        </r>
      </text>
    </comment>
    <comment ref="D137" authorId="0">
      <text>
        <r>
          <rPr>
            <sz val="9"/>
            <color indexed="81"/>
            <rFont val="Tahoma"/>
            <family val="2"/>
          </rPr>
          <t>Informar o valor unitário diário do vale refeição, considerando o desconto aplicável ao funcionário, conforme Convenção Coletiva da categoria.</t>
        </r>
      </text>
    </comment>
    <comment ref="D138" authorId="0">
      <text>
        <r>
          <rPr>
            <sz val="9"/>
            <color indexed="81"/>
            <rFont val="Tahoma"/>
            <family val="2"/>
          </rPr>
          <t>Informar o valor unitário diário do vale refeição, considerando o desconto aplicável ao funcionário, conforme Convenção Coletiva da categoria.</t>
        </r>
      </text>
    </comment>
    <comment ref="D143" authorId="0">
      <text>
        <r>
          <rPr>
            <sz val="9"/>
            <color indexed="81"/>
            <rFont val="Tahoma"/>
            <family val="2"/>
          </rPr>
          <t>Informar o valor mensal do auxilio alimentação, considerando o desconto aplicável ao funcionário, conforme Convenção Coletiva da categoria</t>
        </r>
      </text>
    </comment>
    <comment ref="D144" authorId="0">
      <text>
        <r>
          <rPr>
            <sz val="9"/>
            <color indexed="81"/>
            <rFont val="Tahoma"/>
            <family val="2"/>
          </rPr>
          <t>Informar o valor mensal do auxilio alimentação, considerando o desconto aplicável ao funcionário, conforme Convenção Coletiva da categoria</t>
        </r>
      </text>
    </comment>
    <comment ref="C177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78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79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80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81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82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83" authorId="0">
      <text>
        <r>
          <rPr>
            <sz val="9"/>
            <color indexed="81"/>
            <rFont val="Tahoma"/>
            <family val="2"/>
          </rPr>
          <t>Informar o valor mensal de higienização de uniforme para 1 funcionário</t>
        </r>
      </text>
    </comment>
    <comment ref="D195" authorId="0">
      <text>
        <r>
          <rPr>
            <sz val="9"/>
            <color indexed="81"/>
            <rFont val="Tahoma"/>
            <family val="2"/>
          </rPr>
          <t>Informar o preço unitário do chassis do caminhão de coleta</t>
        </r>
      </text>
    </comment>
    <comment ref="C196" authorId="0">
      <text>
        <r>
          <rPr>
            <sz val="9"/>
            <color indexed="81"/>
            <rFont val="Tahoma"/>
            <family val="2"/>
          </rPr>
          <t>Informar a vida útil estimada para o caminhão, em anos</t>
        </r>
      </text>
    </comment>
    <comment ref="C197" authorId="0">
      <text>
        <r>
          <rPr>
            <sz val="9"/>
            <color indexed="81"/>
            <rFont val="Tahoma"/>
            <family val="2"/>
          </rPr>
          <t>Na elaboração do orçamento-base da licitação, informar 0 (zero). Na proposta da licitante, informar a idade do veículo proposto.</t>
        </r>
      </text>
    </comment>
    <comment ref="C198" authorId="0">
      <text>
        <r>
          <rPr>
            <b/>
            <sz val="9"/>
            <color indexed="81"/>
            <rFont val="Tahoma"/>
            <family val="2"/>
          </rPr>
          <t xml:space="preserve">Informar o valor da depreciação do caminhão, adotando o valor sugerido pelo TCE ou outro valor estimado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0" authorId="0">
      <text>
        <r>
          <rPr>
            <sz val="9"/>
            <color indexed="81"/>
            <rFont val="Tahoma"/>
            <family val="2"/>
          </rPr>
          <t xml:space="preserve">Informar o preço unitário do equipamento compactador
</t>
        </r>
      </text>
    </comment>
    <comment ref="C201" authorId="0">
      <text>
        <r>
          <rPr>
            <sz val="9"/>
            <color indexed="81"/>
            <rFont val="Tahoma"/>
            <family val="2"/>
          </rPr>
          <t>Informar a vida útil estimada para o compactador, em anos</t>
        </r>
      </text>
    </comment>
    <comment ref="C202" authorId="0">
      <text>
        <r>
          <rPr>
            <sz val="9"/>
            <color indexed="81"/>
            <rFont val="Tahoma"/>
            <family val="2"/>
          </rPr>
          <t>Na elaboração do orçamento-base da licitação, informar 0 (zero). Na proposta da licitante, informar a idade do compactador proposto.</t>
        </r>
      </text>
    </comment>
    <comment ref="C203" authorId="0">
      <text>
        <r>
          <rPr>
            <b/>
            <sz val="9"/>
            <color indexed="81"/>
            <rFont val="Tahoma"/>
            <family val="2"/>
          </rPr>
          <t xml:space="preserve">Informar o valor da depreciação do compactador, adotando o valor sugerido pelo TCE ou outro valor estimado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06" authorId="0">
      <text>
        <r>
          <rPr>
            <sz val="9"/>
            <color indexed="81"/>
            <rFont val="Tahoma"/>
            <family val="2"/>
          </rPr>
          <t>Informar a quantidade de caminhões compactadores do respectivo modelo</t>
        </r>
      </text>
    </comment>
    <comment ref="C212" authorId="0">
      <text>
        <r>
          <rPr>
            <b/>
            <sz val="9"/>
            <color indexed="81"/>
            <rFont val="Tahoma"/>
            <family val="2"/>
          </rPr>
          <t>Informar a taxa de juros anual para remuneração do capital. Recomenda-se o uso da Taxa SELIC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8" authorId="0">
      <text>
        <r>
          <rPr>
            <sz val="9"/>
            <color indexed="81"/>
            <rFont val="Tahoma"/>
            <family val="2"/>
          </rPr>
          <t xml:space="preserve">Informar o valor do seguro obrigatório e licenciamento anual de um caminhão
</t>
        </r>
      </text>
    </comment>
    <comment ref="D229" authorId="0">
      <text>
        <r>
          <rPr>
            <sz val="9"/>
            <color indexed="81"/>
            <rFont val="Tahoma"/>
            <family val="2"/>
          </rPr>
          <t xml:space="preserve">Informar o valor do seguro contra terceiros de um caminhão, se houver previsão no Projeto Básico
</t>
        </r>
      </text>
    </comment>
    <comment ref="B235" authorId="0">
      <text>
        <r>
          <rPr>
            <sz val="9"/>
            <color indexed="81"/>
            <rFont val="Tahoma"/>
            <family val="2"/>
          </rPr>
          <t xml:space="preserve">Informar a quilometragem mensal percorrida, de acordo com o projeto básico
</t>
        </r>
      </text>
    </comment>
    <comment ref="C238" authorId="0">
      <text>
        <r>
          <rPr>
            <sz val="9"/>
            <color indexed="81"/>
            <rFont val="Tahoma"/>
            <family val="2"/>
          </rPr>
          <t>Informar o consumo estimado do veículo em km/l</t>
        </r>
      </text>
    </comment>
    <comment ref="D238" authorId="0">
      <text>
        <r>
          <rPr>
            <sz val="9"/>
            <color indexed="81"/>
            <rFont val="Tahoma"/>
            <family val="2"/>
          </rPr>
          <t xml:space="preserve">Informar o preço unitário do combustivel
</t>
        </r>
      </text>
    </comment>
    <comment ref="C240" authorId="0">
      <text>
        <r>
          <rPr>
            <sz val="9"/>
            <color indexed="81"/>
            <rFont val="Tahoma"/>
            <family val="2"/>
          </rPr>
          <t>Informar o consumo de óleo do motor a cada 1000km</t>
        </r>
      </text>
    </comment>
    <comment ref="D240" authorId="0">
      <text>
        <r>
          <rPr>
            <sz val="9"/>
            <color indexed="81"/>
            <rFont val="Tahoma"/>
            <family val="2"/>
          </rPr>
          <t xml:space="preserve">Informar o preço unitário do litro do óleo do motor
</t>
        </r>
      </text>
    </comment>
    <comment ref="C242" authorId="0">
      <text>
        <r>
          <rPr>
            <sz val="9"/>
            <color indexed="81"/>
            <rFont val="Tahoma"/>
            <family val="2"/>
          </rPr>
          <t>Informar o consumo de óleo da transmissão a cada 1000km</t>
        </r>
      </text>
    </comment>
    <comment ref="D242" authorId="0">
      <text>
        <r>
          <rPr>
            <sz val="9"/>
            <color indexed="81"/>
            <rFont val="Tahoma"/>
            <family val="2"/>
          </rPr>
          <t xml:space="preserve">Informar o preço unitário do litro do óleo da transmissão
</t>
        </r>
      </text>
    </comment>
    <comment ref="C244" authorId="0">
      <text>
        <r>
          <rPr>
            <sz val="9"/>
            <color indexed="81"/>
            <rFont val="Tahoma"/>
            <family val="2"/>
          </rPr>
          <t>Informar o consumo de óleo hidráulico a cada 1000km</t>
        </r>
      </text>
    </comment>
    <comment ref="D244" authorId="0">
      <text>
        <r>
          <rPr>
            <sz val="9"/>
            <color indexed="81"/>
            <rFont val="Tahoma"/>
            <family val="2"/>
          </rPr>
          <t xml:space="preserve">Informar o preço unitário do litro do óleo hidráulico
</t>
        </r>
      </text>
    </comment>
    <comment ref="C246" authorId="0">
      <text>
        <r>
          <rPr>
            <sz val="9"/>
            <color indexed="81"/>
            <rFont val="Tahoma"/>
            <family val="2"/>
          </rPr>
          <t>Informar o consumo de óleo hidráulico a cada 1000km</t>
        </r>
      </text>
    </comment>
    <comment ref="D246" authorId="0">
      <text>
        <r>
          <rPr>
            <sz val="9"/>
            <color indexed="81"/>
            <rFont val="Tahoma"/>
            <family val="2"/>
          </rPr>
          <t xml:space="preserve">Informar o preço unitário do litro do óleo hidráulico
</t>
        </r>
      </text>
    </comment>
    <comment ref="C248" authorId="0">
      <text>
        <r>
          <rPr>
            <sz val="9"/>
            <color indexed="81"/>
            <rFont val="Tahoma"/>
            <family val="2"/>
          </rPr>
          <t>Informar o consumo de graxa a cada 1000km</t>
        </r>
      </text>
    </comment>
    <comment ref="D248" authorId="0">
      <text>
        <r>
          <rPr>
            <sz val="9"/>
            <color indexed="81"/>
            <rFont val="Tahoma"/>
            <family val="2"/>
          </rPr>
          <t xml:space="preserve">Informar o preço unitário do litro da graxa
</t>
        </r>
      </text>
    </comment>
    <comment ref="D255" authorId="0">
      <text>
        <r>
          <rPr>
            <sz val="9"/>
            <color indexed="81"/>
            <rFont val="Tahoma"/>
            <family val="2"/>
          </rPr>
          <t xml:space="preserve">Informar o custo de manutenção em R$/km rodado
</t>
        </r>
      </text>
    </comment>
    <comment ref="C260" authorId="0">
      <text>
        <r>
          <rPr>
            <sz val="9"/>
            <color indexed="81"/>
            <rFont val="Tahoma"/>
            <family val="2"/>
          </rPr>
          <t>Informar a quantidade de pneus novos de 1 caminhão</t>
        </r>
      </text>
    </comment>
    <comment ref="D260" authorId="0">
      <text>
        <r>
          <rPr>
            <sz val="9"/>
            <color indexed="81"/>
            <rFont val="Tahoma"/>
            <family val="2"/>
          </rPr>
          <t xml:space="preserve">Informar o preço unitário de cada pneu
</t>
        </r>
      </text>
    </comment>
    <comment ref="C261" authorId="0">
      <text>
        <r>
          <rPr>
            <sz val="9"/>
            <color indexed="81"/>
            <rFont val="Tahoma"/>
            <family val="2"/>
          </rPr>
          <t>Informar o número de recapagens por pneu</t>
        </r>
      </text>
    </comment>
    <comment ref="D262" authorId="0">
      <text>
        <r>
          <rPr>
            <sz val="9"/>
            <color indexed="81"/>
            <rFont val="Tahoma"/>
            <family val="2"/>
          </rPr>
          <t xml:space="preserve">Informar o preço unitário de cada recapagem
</t>
        </r>
      </text>
    </comment>
    <comment ref="C263" authorId="0">
      <text>
        <r>
          <rPr>
            <sz val="9"/>
            <color indexed="81"/>
            <rFont val="Tahoma"/>
            <family val="2"/>
          </rPr>
          <t xml:space="preserve">Informar a durabilidade média dos pneus considerando as recapagens, em km
</t>
        </r>
      </text>
    </comment>
    <comment ref="C273" authorId="0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73" author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C274" authorId="0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74" author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C275" authorId="0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75" author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C277" authorId="0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77" author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C278" authorId="0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78" author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A283" authorId="0">
      <text>
        <r>
          <rPr>
            <b/>
            <sz val="9"/>
            <color indexed="81"/>
            <rFont val="Tahoma"/>
            <family val="2"/>
          </rPr>
          <t>Especificar somente quando for exigido no Projeto Básico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86" authorId="0">
      <text>
        <r>
          <rPr>
            <sz val="9"/>
            <color indexed="81"/>
            <rFont val="Tahoma"/>
            <family val="2"/>
          </rPr>
          <t>Informar o valor total para instalação do equipamento de monitoramento da frota, se houver previsão no Projeto Básico</t>
        </r>
      </text>
    </comment>
    <comment ref="D288" authorId="0">
      <text>
        <r>
          <rPr>
            <sz val="9"/>
            <color indexed="81"/>
            <rFont val="Tahoma"/>
            <family val="2"/>
          </rPr>
          <t>Informar o valor unitário mensal para manutenção dos equipamentos de monitoramento</t>
        </r>
      </text>
    </comment>
    <comment ref="C299" authorId="0">
      <text>
        <r>
          <rPr>
            <sz val="9"/>
            <color indexed="81"/>
            <rFont val="Tahoma"/>
            <family val="2"/>
          </rPr>
          <t>Preencher a aba 4.BDI</t>
        </r>
      </text>
    </comment>
    <comment ref="D308" authorId="0">
      <text>
        <r>
          <rPr>
            <sz val="9"/>
            <color indexed="81"/>
            <rFont val="Tahoma"/>
            <family val="2"/>
          </rPr>
          <t xml:space="preserve">Informar a quantidade média coletada nos últimos 12 meses
</t>
        </r>
      </text>
    </comment>
  </commentList>
</comments>
</file>

<file path=xl/comments3.xml><?xml version="1.0" encoding="utf-8"?>
<comments xmlns="http://schemas.openxmlformats.org/spreadsheetml/2006/main">
  <authors>
    <author>Clauber Bridi</author>
  </authors>
  <commentList>
    <comment ref="C13" authorId="0">
      <text>
        <r>
          <rPr>
            <b/>
            <sz val="9"/>
            <color indexed="81"/>
            <rFont val="Tahoma"/>
            <family val="2"/>
          </rPr>
          <t>Informar o % de Administração Central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4" authorId="0">
      <text>
        <r>
          <rPr>
            <b/>
            <sz val="9"/>
            <color indexed="81"/>
            <rFont val="Tahoma"/>
            <family val="2"/>
          </rPr>
          <t>Informar o % de Seguros, Riscos e Garantia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5" authorId="0">
      <text>
        <r>
          <rPr>
            <b/>
            <sz val="9"/>
            <color indexed="81"/>
            <rFont val="Tahoma"/>
            <family val="2"/>
          </rPr>
          <t>Informar o % de Lucro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6" authorId="0">
      <text>
        <r>
          <rPr>
            <b/>
            <sz val="9"/>
            <color indexed="81"/>
            <rFont val="Tahoma"/>
            <family val="2"/>
          </rPr>
          <t>Informar o valor anual da taxa financeira, em percentual. Admite-se utilizar a SELIC</t>
        </r>
      </text>
    </comment>
    <comment ref="C17" authorId="0">
      <text>
        <r>
          <rPr>
            <b/>
            <sz val="9"/>
            <color indexed="81"/>
            <rFont val="Tahoma"/>
            <family val="2"/>
          </rPr>
          <t>Informar o percentual de ISS, de acordo com a legislação tributária do município onde serão prestados os serviços. De 2% até o limite de 5%.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7" authorId="0">
      <text>
        <r>
          <rPr>
            <b/>
            <sz val="9"/>
            <color indexed="81"/>
            <rFont val="Tahoma"/>
            <family val="2"/>
          </rPr>
          <t>Informar a média de dias úteis entre data de pagamento prevista no contrato e a data final do período de adimplemento da parcela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8" authorId="0">
      <text>
        <r>
          <rPr>
            <b/>
            <sz val="9"/>
            <color indexed="81"/>
            <rFont val="Tahoma"/>
            <family val="2"/>
          </rPr>
          <t xml:space="preserve">Informar o valor estimado de PIS/COFINS. </t>
        </r>
        <r>
          <rPr>
            <sz val="9"/>
            <color indexed="81"/>
            <rFont val="Tahoma"/>
            <family val="2"/>
          </rPr>
          <t xml:space="preserve">
1. Adotar 0,65% PIS + 3% COFINS quando o valor anual estimado do contrato for inferior ao limite para tributação pelo regime de incidência não-cumulativa (lucro presumido);
2. Adotar 1,65% PIS + 7,6% COFINS quando o valor anual estimado do contrato for superior ao limite para tributação pelo regime de incidência não-cumulativa (lucro real);</t>
        </r>
      </text>
    </comment>
  </commentList>
</comments>
</file>

<file path=xl/comments4.xml><?xml version="1.0" encoding="utf-8"?>
<comments xmlns="http://schemas.openxmlformats.org/spreadsheetml/2006/main">
  <authors>
    <author>cbridi</author>
    <author>Clauber Bridi</author>
    <author>Omar</author>
  </authors>
  <commentList>
    <comment ref="C13" authorId="0">
      <text>
        <r>
          <rPr>
            <sz val="8"/>
            <color indexed="81"/>
            <rFont val="Tahoma"/>
            <family val="2"/>
          </rPr>
          <t>Informar a população do município a ser atendida</t>
        </r>
      </text>
    </comment>
    <comment ref="C14" authorId="1">
      <text>
        <r>
          <rPr>
            <b/>
            <sz val="9"/>
            <color indexed="81"/>
            <rFont val="Tahoma"/>
            <family val="2"/>
          </rPr>
          <t>Caso o município possua informações de pesagem, ajustar com o valor da geração média per capita realizada nos últimos 12 meses</t>
        </r>
      </text>
    </comment>
    <comment ref="C15" authorId="2">
      <text>
        <r>
          <rPr>
            <sz val="9"/>
            <color indexed="81"/>
            <rFont val="Tahoma"/>
            <family val="2"/>
          </rPr>
          <t>retorna a geração diária a ser recolhida</t>
        </r>
      </text>
    </comment>
    <comment ref="C17" authorId="0">
      <text>
        <r>
          <rPr>
            <b/>
            <sz val="8"/>
            <color indexed="81"/>
            <rFont val="Tahoma"/>
            <family val="2"/>
          </rPr>
          <t>Informe o número de dias de coleta por semana</t>
        </r>
      </text>
    </comment>
    <comment ref="C20" authorId="0">
      <text>
        <r>
          <rPr>
            <sz val="8"/>
            <color indexed="81"/>
            <rFont val="Tahoma"/>
            <family val="2"/>
          </rPr>
          <t>Informar 1 para caminhão toco; Informar 2 para caminhão truck</t>
        </r>
        <r>
          <rPr>
            <b/>
            <sz val="8"/>
            <color indexed="81"/>
            <rFont val="Tahoma"/>
            <family val="2"/>
          </rPr>
          <t xml:space="preserve"> </t>
        </r>
      </text>
    </comment>
    <comment ref="C21" authorId="0">
      <text>
        <r>
          <rPr>
            <sz val="8"/>
            <color indexed="81"/>
            <rFont val="Tahoma"/>
            <family val="2"/>
          </rPr>
          <t>Informar a capacidade do compactador em m³</t>
        </r>
      </text>
    </comment>
    <comment ref="C24" authorId="1">
      <text>
        <r>
          <rPr>
            <sz val="8"/>
            <color indexed="81"/>
            <rFont val="Tahoma"/>
            <family val="2"/>
          </rPr>
          <t xml:space="preserve">Informar o número de percursos de coleta (cargas) que cada caminhão realiza por dia, considerando todos os turnos de trabalho. </t>
        </r>
      </text>
    </comment>
  </commentList>
</comments>
</file>

<file path=xl/sharedStrings.xml><?xml version="1.0" encoding="utf-8"?>
<sst xmlns="http://schemas.openxmlformats.org/spreadsheetml/2006/main" count="2017" uniqueCount="567">
  <si>
    <t>hora</t>
  </si>
  <si>
    <t>Adicional de Insalubridade</t>
  </si>
  <si>
    <t>%</t>
  </si>
  <si>
    <t>Soma</t>
  </si>
  <si>
    <t>Encargos Sociais</t>
  </si>
  <si>
    <t>Total do Efetivo</t>
  </si>
  <si>
    <t>homem</t>
  </si>
  <si>
    <t>Adicional Noturno</t>
  </si>
  <si>
    <t>mês</t>
  </si>
  <si>
    <t>vale</t>
  </si>
  <si>
    <t>unidade</t>
  </si>
  <si>
    <t>Colete reflexivo</t>
  </si>
  <si>
    <t>IPVA</t>
  </si>
  <si>
    <t>Seguro contra terceiros</t>
  </si>
  <si>
    <t>Impostos e seguros mensais</t>
  </si>
  <si>
    <t>Custo de óleo diesel / km rodado</t>
  </si>
  <si>
    <t>km/l</t>
  </si>
  <si>
    <t>Custo mensal com óleo diesel</t>
  </si>
  <si>
    <t>km</t>
  </si>
  <si>
    <t>l/1.000 km</t>
  </si>
  <si>
    <t>Custo mensal com óleo do motor</t>
  </si>
  <si>
    <t>Custo mensal com óleo da transmissão</t>
  </si>
  <si>
    <t>Custo mensal com óleo hidráulico</t>
  </si>
  <si>
    <t>Custo de graxa /1.000 km rodados</t>
  </si>
  <si>
    <t>kg/1.000 km</t>
  </si>
  <si>
    <t>Custo mensal com graxa</t>
  </si>
  <si>
    <t>km/jogo</t>
  </si>
  <si>
    <t>toneladas</t>
  </si>
  <si>
    <t>Pá de Concha</t>
  </si>
  <si>
    <t>Vassoura</t>
  </si>
  <si>
    <t>Calça</t>
  </si>
  <si>
    <t>Camiseta</t>
  </si>
  <si>
    <t>Boné</t>
  </si>
  <si>
    <t>Luva de proteção</t>
  </si>
  <si>
    <t>R$/tonelada</t>
  </si>
  <si>
    <t>R$</t>
  </si>
  <si>
    <t>Horas Extras (100%)</t>
  </si>
  <si>
    <t>Horas Extras (50%)</t>
  </si>
  <si>
    <t>Benefícios e despesas indiretas</t>
  </si>
  <si>
    <t>Custo mensal com manutenção</t>
  </si>
  <si>
    <t>Custo (R$/mês)</t>
  </si>
  <si>
    <t>Mão-de-obra</t>
  </si>
  <si>
    <t>Quantidade</t>
  </si>
  <si>
    <t>INSS</t>
  </si>
  <si>
    <t>FGTS</t>
  </si>
  <si>
    <t>Planilha de Composição de Custos</t>
  </si>
  <si>
    <t>Motorista</t>
  </si>
  <si>
    <t>2. Uniformes e Equipamentos de Proteção Individual</t>
  </si>
  <si>
    <t>3.1.1. Depreciação</t>
  </si>
  <si>
    <t>1. Mão-de-obra</t>
  </si>
  <si>
    <t>par</t>
  </si>
  <si>
    <t>frasco 120g</t>
  </si>
  <si>
    <t>Depreciação mensal veículos coletores</t>
  </si>
  <si>
    <t>3.1.3. Impostos e Seguros</t>
  </si>
  <si>
    <t>3.1.4. Consumos</t>
  </si>
  <si>
    <t>3.1.5. Manutenção</t>
  </si>
  <si>
    <t>3. Veículos e Equipamentos</t>
  </si>
  <si>
    <t>Custo mensal com pneus</t>
  </si>
  <si>
    <t>Veículos e Equipamentos</t>
  </si>
  <si>
    <t>cj</t>
  </si>
  <si>
    <t>Total de mão-de-obra (postos de trabalho)</t>
  </si>
  <si>
    <t>Custo mensal com implantação</t>
  </si>
  <si>
    <t>3.1.6. Pneus</t>
  </si>
  <si>
    <t>Protetor solar FPS 30</t>
  </si>
  <si>
    <t>Discriminação</t>
  </si>
  <si>
    <t>Unidade</t>
  </si>
  <si>
    <t>Subtotal</t>
  </si>
  <si>
    <r>
      <t xml:space="preserve">Total </t>
    </r>
    <r>
      <rPr>
        <b/>
        <u/>
        <sz val="9"/>
        <rFont val="Arial"/>
        <family val="2"/>
      </rPr>
      <t>(R$)</t>
    </r>
  </si>
  <si>
    <t>Jaqueta com reflexivo (NBR 15.292)</t>
  </si>
  <si>
    <t>Capa de chuva amarela com reflexivo</t>
  </si>
  <si>
    <t>Botina de segurança c/ palmilha aço</t>
  </si>
  <si>
    <t>PREÇO POR TONELADA COLETADA:  [A/B]</t>
  </si>
  <si>
    <t>Custo de recapagem</t>
  </si>
  <si>
    <t>Recipiente térmico para água (5L)</t>
  </si>
  <si>
    <t>Total por Coletor</t>
  </si>
  <si>
    <t>Coletor</t>
  </si>
  <si>
    <t>4. Ferramentas e Materiais de Consumo</t>
  </si>
  <si>
    <t>5. Monitoramento da Frota</t>
  </si>
  <si>
    <t>Administração Central</t>
  </si>
  <si>
    <t>AC</t>
  </si>
  <si>
    <t>Seguros/Riscos/Garantias</t>
  </si>
  <si>
    <t>SRG</t>
  </si>
  <si>
    <t>Lucro</t>
  </si>
  <si>
    <t>L</t>
  </si>
  <si>
    <t>Despesas Financeiras</t>
  </si>
  <si>
    <t>DF</t>
  </si>
  <si>
    <t>Tributos - ISS</t>
  </si>
  <si>
    <t>T</t>
  </si>
  <si>
    <t>Fórmula para o cálculo do BDI:</t>
  </si>
  <si>
    <t>{[(1+AC+SRG) x (1+L) x (1+DF)] / (1-T)} -1</t>
  </si>
  <si>
    <t>Resultado do cálculo do BDI:</t>
  </si>
  <si>
    <t>6. Benefícios e Despesas Indiretas - BDI</t>
  </si>
  <si>
    <t>1.2. Coletor Turno Noite</t>
  </si>
  <si>
    <t>Vale Transporte</t>
  </si>
  <si>
    <t>Dias Trabalhados por mês</t>
  </si>
  <si>
    <t>dia</t>
  </si>
  <si>
    <t>Custo Mensal com Mão-de-obra (R$/mês)</t>
  </si>
  <si>
    <t>Meia de algodão com cano alto</t>
  </si>
  <si>
    <r>
      <t xml:space="preserve">Custo jg. compl. + </t>
    </r>
    <r>
      <rPr>
        <sz val="10"/>
        <color indexed="10"/>
        <rFont val="Arial"/>
        <family val="2"/>
      </rPr>
      <t>X</t>
    </r>
    <r>
      <rPr>
        <sz val="10"/>
        <rFont val="Arial"/>
        <family val="2"/>
      </rPr>
      <t xml:space="preserve"> recap./ km rodado</t>
    </r>
  </si>
  <si>
    <t>Quantitativos</t>
  </si>
  <si>
    <t>horas trabalhadas</t>
  </si>
  <si>
    <t>Horas Extras Noturnas (100%)</t>
  </si>
  <si>
    <t>1.1. Coletor Turno Dia</t>
  </si>
  <si>
    <t>1.3. Motorista Turno do Dia</t>
  </si>
  <si>
    <t>hora contabilizada</t>
  </si>
  <si>
    <t>1.5. Vale Transporte</t>
  </si>
  <si>
    <t>Vida útil do chassis</t>
  </si>
  <si>
    <t>anos</t>
  </si>
  <si>
    <t>Depreciação do chassis</t>
  </si>
  <si>
    <t>Custo de aquisição do chassis</t>
  </si>
  <si>
    <t>i = taxa de juros do mercado (sugere-se adotar a taxa SELIC)</t>
  </si>
  <si>
    <t>n = vida útil do bem em anos</t>
  </si>
  <si>
    <t>Custo do chassis</t>
  </si>
  <si>
    <t>Custo do compactador</t>
  </si>
  <si>
    <t>3.1.2. Remuneração do Capital</t>
  </si>
  <si>
    <t>Im = investimento médio</t>
  </si>
  <si>
    <t>Remuneração mensal de capital do compactador</t>
  </si>
  <si>
    <t>Investimento médio total do chassis</t>
  </si>
  <si>
    <t>Remuneração mensal de capital do chassis</t>
  </si>
  <si>
    <t>Investimento médio total do compactador</t>
  </si>
  <si>
    <t>Custo de manutenção dos caminhões</t>
  </si>
  <si>
    <t>Quilometragem mensal</t>
  </si>
  <si>
    <t>R$/km rodado</t>
  </si>
  <si>
    <t>Número de recapagens por pneu</t>
  </si>
  <si>
    <t>1.6. Vale-refeição (diário)</t>
  </si>
  <si>
    <t>1.7. Auxílio Alimentação (mensal)</t>
  </si>
  <si>
    <t>R$ mensal</t>
  </si>
  <si>
    <t>Admissões</t>
  </si>
  <si>
    <t>Desligamentos</t>
  </si>
  <si>
    <t>Dispensados com justa causa</t>
  </si>
  <si>
    <t>Dispensados sem justa causa</t>
  </si>
  <si>
    <t>Espontâneos</t>
  </si>
  <si>
    <t>Fim de contrato por prazo determinado</t>
  </si>
  <si>
    <t>Término de contrato</t>
  </si>
  <si>
    <t>Aposentados</t>
  </si>
  <si>
    <t>Mortos</t>
  </si>
  <si>
    <t>Transferência de saída</t>
  </si>
  <si>
    <t xml:space="preserve"> </t>
  </si>
  <si>
    <t>Indicadores</t>
  </si>
  <si>
    <t>Dias ano</t>
  </si>
  <si>
    <t>Estoque Médio</t>
  </si>
  <si>
    <t>Multa FGTS</t>
  </si>
  <si>
    <t>Dias de Aviso prévio</t>
  </si>
  <si>
    <t>Código</t>
  </si>
  <si>
    <t>Descrição</t>
  </si>
  <si>
    <t>Valor</t>
  </si>
  <si>
    <t>A1</t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</si>
  <si>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</si>
  <si>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</si>
  <si>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</si>
  <si>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</si>
  <si>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</si>
  <si>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</si>
  <si>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</si>
  <si>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</si>
  <si>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</si>
  <si>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</si>
  <si>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</si>
  <si>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</si>
  <si>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</si>
  <si>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A</t>
  </si>
  <si>
    <t>SOMA GRUPO A</t>
  </si>
  <si>
    <t>B1</t>
  </si>
  <si>
    <t>Férias gozadas</t>
  </si>
  <si>
    <t>B2</t>
  </si>
  <si>
    <t>13º salário</t>
  </si>
  <si>
    <t>B4</t>
  </si>
  <si>
    <t>Licença Paternidade</t>
  </si>
  <si>
    <t>B5</t>
  </si>
  <si>
    <t>Faltas justificadas</t>
  </si>
  <si>
    <t>B6</t>
  </si>
  <si>
    <t>Auxilio acidente de trabalho</t>
  </si>
  <si>
    <t>Auxilio doença</t>
  </si>
  <si>
    <t>B</t>
  </si>
  <si>
    <t>SOMA GRUPO B</t>
  </si>
  <si>
    <t>C1</t>
  </si>
  <si>
    <t>Aviso prévio indenizado</t>
  </si>
  <si>
    <t>C3</t>
  </si>
  <si>
    <t xml:space="preserve">Férias indenizadas </t>
  </si>
  <si>
    <t>C4</t>
  </si>
  <si>
    <t>Férias indenizadas s/ aviso previo inden.</t>
  </si>
  <si>
    <t>C5</t>
  </si>
  <si>
    <t>Depósito rescisão sem justa causa</t>
  </si>
  <si>
    <t>Indenização adicional</t>
  </si>
  <si>
    <t>C</t>
  </si>
  <si>
    <t>SOMA GRUPO C</t>
  </si>
  <si>
    <t>D1</t>
  </si>
  <si>
    <t>Reincidência de Grupo A sobre Grupo B</t>
  </si>
  <si>
    <t>D2</t>
  </si>
  <si>
    <t>D</t>
  </si>
  <si>
    <t>SOMA GRUPO D</t>
  </si>
  <si>
    <t>SOMA (A+B+C+D)</t>
  </si>
  <si>
    <t>1° Quartil</t>
  </si>
  <si>
    <t>Médio</t>
  </si>
  <si>
    <t>3° Quartil</t>
  </si>
  <si>
    <t>DU</t>
  </si>
  <si>
    <t>Licenciamento e Seguro obrigatório</t>
  </si>
  <si>
    <t>Fator de utilização</t>
  </si>
  <si>
    <t>Fator de utilização (FU)</t>
  </si>
  <si>
    <t>2.1. Uniformes e EPIs para Coletor</t>
  </si>
  <si>
    <t>Higienização de uniformes e EPIs</t>
  </si>
  <si>
    <t>2.2. Uniformes e EPIs para demais categorias</t>
  </si>
  <si>
    <t>Custo Mensal com Uniformes e EPIs (R$/mês)</t>
  </si>
  <si>
    <t>Descrição do Item</t>
  </si>
  <si>
    <t>Orçamento Sintético</t>
  </si>
  <si>
    <t>Orientações para preenchimento:</t>
  </si>
  <si>
    <t>2. Preencher somente células em amarelo</t>
  </si>
  <si>
    <t>Excluir esta linha caso a contratação seja por preço global mensal</t>
  </si>
  <si>
    <t>Rio Grande do Sul  - Coleta de Resíduos Não-Perigosos - CNAE 38114</t>
  </si>
  <si>
    <t xml:space="preserve">1. Acesse o Portal do CAGED no link http://bi.mte.gov.br/cagedestabelecimento/pages/consulta.xhtml </t>
  </si>
  <si>
    <t>3. Nível Geográfico: selecione "Unidade da Federação" e marque a opção "Rio Grande do Sul"</t>
  </si>
  <si>
    <t>4. Nível Setorial: selecione "Classe de atividade econômica segundo a classificação CNAE – versão 2.0 (669 categorias)" e marque a opção "38114 – Coleta de Resíduos Não-Perigosos"</t>
  </si>
  <si>
    <t>5. Clique em Gerar Relatório</t>
  </si>
  <si>
    <t>Para preencher esta planilha siga os passos 1 a 5:</t>
  </si>
  <si>
    <t>Idade do veículo (ano)</t>
  </si>
  <si>
    <t>Idade do veículo</t>
  </si>
  <si>
    <t>Valor do veículo proposto (V0)</t>
  </si>
  <si>
    <t>Valor do compactador proposto (V0)</t>
  </si>
  <si>
    <t>Taxa de juros anual nominal</t>
  </si>
  <si>
    <t>Piso da categoria</t>
  </si>
  <si>
    <t>Base de cálculo da Insalubridade</t>
  </si>
  <si>
    <t>Horas Extras Noturnas (50%)</t>
  </si>
  <si>
    <t>Excluir esta linha caso a contratação não tenha previsão de horas extras explícita no edital</t>
  </si>
  <si>
    <t>Descanso Semanal Remunerado (DSR) - hora extra</t>
  </si>
  <si>
    <t>C2</t>
  </si>
  <si>
    <t>B3</t>
  </si>
  <si>
    <t xml:space="preserve">Quantidade média de resíduos coletados por mês: </t>
  </si>
  <si>
    <t>Custo Mensal com Monitoramento da Frota (R$/mês)</t>
  </si>
  <si>
    <t>Implantação dos equipamentos de monitoramento</t>
  </si>
  <si>
    <t>Manutenção dos equipamentos de monitoramento</t>
  </si>
  <si>
    <t>Custo Mensal com Veículos e Equipamentos (R$/mês)</t>
  </si>
  <si>
    <t>Custo Mensal com Ferramentas e Materiais de Consumo (R$/mês)</t>
  </si>
  <si>
    <t>CUSTO TOTAL MENSAL COM DESPESAS OPERACIONAIS (R$/mês)</t>
  </si>
  <si>
    <t>PREÇO MENSAL TOTAL (R$/mês)</t>
  </si>
  <si>
    <r>
      <t>J</t>
    </r>
    <r>
      <rPr>
        <vertAlign val="subscript"/>
        <sz val="12"/>
        <color indexed="8"/>
        <rFont val="Arial"/>
        <family val="2"/>
      </rPr>
      <t>m</t>
    </r>
    <r>
      <rPr>
        <sz val="12"/>
        <color indexed="8"/>
        <rFont val="Arial"/>
        <family val="2"/>
      </rPr>
      <t xml:space="preserve"> = remuneração de capital mensal</t>
    </r>
  </si>
  <si>
    <r>
      <t>V</t>
    </r>
    <r>
      <rPr>
        <vertAlign val="subscript"/>
        <sz val="12"/>
        <color indexed="8"/>
        <rFont val="Arial"/>
        <family val="2"/>
      </rPr>
      <t>0</t>
    </r>
    <r>
      <rPr>
        <sz val="12"/>
        <color indexed="8"/>
        <rFont val="Arial"/>
        <family val="2"/>
      </rPr>
      <t xml:space="preserve"> = valor inicial do bem</t>
    </r>
  </si>
  <si>
    <r>
      <t>V</t>
    </r>
    <r>
      <rPr>
        <vertAlign val="subscript"/>
        <sz val="12"/>
        <color indexed="8"/>
        <rFont val="Arial"/>
        <family val="2"/>
      </rPr>
      <t>r</t>
    </r>
    <r>
      <rPr>
        <sz val="12"/>
        <color indexed="8"/>
        <rFont val="Arial"/>
        <family val="2"/>
      </rPr>
      <t xml:space="preserve"> = valor residual do bem</t>
    </r>
  </si>
  <si>
    <t>Custo unitário</t>
  </si>
  <si>
    <t>Custo de óleo do motor /1.000 km rodados</t>
  </si>
  <si>
    <t>Custo de óleo da transmissão /1.000 km</t>
  </si>
  <si>
    <t>Custo de óleo hidráulico / 1.000 km</t>
  </si>
  <si>
    <t>PREÇO TOTAL MENSAL COM A COLETA</t>
  </si>
  <si>
    <t>CUSTO MENSAL COM BDI (R$/mês)</t>
  </si>
  <si>
    <t>CÁLCULO DAS VERBAS INDENIZATÓRIAS DOS EMPREGADOS NO SETOR DE COLETA DE RSU</t>
  </si>
  <si>
    <t>6. Preencha as células em amarelo</t>
  </si>
  <si>
    <t>1/3 de férias (dias)</t>
  </si>
  <si>
    <t>Férias (dias)</t>
  </si>
  <si>
    <t>13º Salário (dias)</t>
  </si>
  <si>
    <t>Referência estudo TCE</t>
  </si>
  <si>
    <t>1. Preencha previamente os dados de entrada na planilha 3.CAGED</t>
  </si>
  <si>
    <t>Rotatividade temporal (meses)</t>
  </si>
  <si>
    <t>1. Esta planilha é somente um modelo-base e deve ser ajustada conforme cada caso concreto.</t>
  </si>
  <si>
    <t>Fórmula de cálculo da remuneração de capital:</t>
  </si>
  <si>
    <t>Excluir esta linha caso a contratação não tenha previsão de horas extras 100% explícita no edital</t>
  </si>
  <si>
    <t>Excluir esta linha caso a contratação não tenha previsão de horas extras noturnas 100% explícita no edital</t>
  </si>
  <si>
    <t>Excluir esta linha caso a contratação não tenha previsão de horas extras 50% explícita no edital</t>
  </si>
  <si>
    <t>Excluir esta linha caso a contratação não tenha previsão de horas extras noturnas 50% explícita no edital</t>
  </si>
  <si>
    <t>Total por Motorista</t>
  </si>
  <si>
    <t>2. Na Especificação da Consulta, selecione "Demonstrativo por período" e informe as competências relativas ao período Inicial e Final (últimos 12 meses)</t>
  </si>
  <si>
    <t>Durabilidade (meses)</t>
  </si>
  <si>
    <t>Custo com consumos/km rodado</t>
  </si>
  <si>
    <t>Consumo</t>
  </si>
  <si>
    <t>Total por veículo</t>
  </si>
  <si>
    <t>Total da frota</t>
  </si>
  <si>
    <t>1. Esta planilha é somente um modelo de cálculo expedito e deve ser ajustada conforme cada caso concreto.</t>
  </si>
  <si>
    <t>Unid</t>
  </si>
  <si>
    <t>hab</t>
  </si>
  <si>
    <t>ton</t>
  </si>
  <si>
    <t>Densidade RSU compactado</t>
  </si>
  <si>
    <t>Kg/m³</t>
  </si>
  <si>
    <t>m³</t>
  </si>
  <si>
    <t>Kg/hab.dia</t>
  </si>
  <si>
    <t>ton/dia</t>
  </si>
  <si>
    <t>População (H)</t>
  </si>
  <si>
    <t>Geração per capita (G)</t>
  </si>
  <si>
    <t>Geração total diária (Qd)</t>
  </si>
  <si>
    <t>Quantitativo diário de coleta (Qc)</t>
  </si>
  <si>
    <t>Número de dias de coleta por semana (Dc)</t>
  </si>
  <si>
    <t>Capacidade nominal de carga (Cc)</t>
  </si>
  <si>
    <t>Número de Cargas por dia (Nc)</t>
  </si>
  <si>
    <t>Número de veículos da Frota (F)</t>
  </si>
  <si>
    <t>Geração Mensal</t>
  </si>
  <si>
    <t>Tipo de Veículo (1 = toco, 2 = truck)</t>
  </si>
  <si>
    <t>Capacidade do Compactador</t>
  </si>
  <si>
    <t>Indicador</t>
  </si>
  <si>
    <t>Número total de percursos de coleta por veículo, por dia (Np)</t>
  </si>
  <si>
    <t>i</t>
  </si>
  <si>
    <t>3. Preencher somente células em amarelo</t>
  </si>
  <si>
    <t>Depreciação Média</t>
  </si>
  <si>
    <t>2. Dimensionar separadamente setores atendidos por veículos de capacidade de carga diferentes.</t>
  </si>
  <si>
    <t xml:space="preserve">1. Esta planilha é somente um modelo-base, devendo ser adaptada para cada caso concreto. </t>
  </si>
  <si>
    <t>Qualquer custo previsto no edital e não contemplado nesta planilha deverá ser devidamente incluído.</t>
  </si>
  <si>
    <t>4. As células azuis deverão ter seus valores preenchidos em outra planilha do arquivo.</t>
  </si>
  <si>
    <t>2. Antes de preenchê-la, leia a Orientação Técnica - Serviço de coleta de resíduos sólidos domiciliares</t>
  </si>
  <si>
    <t>Reincidência de FGTS sobre aviso prévio indenizado</t>
  </si>
  <si>
    <t>O orçamento deve ser realizado por responsável técnico habilitado e é de responsabilidade do seu autor.</t>
  </si>
  <si>
    <t>Piso da categoria (2)</t>
  </si>
  <si>
    <t>Salário mínimo nacional (1)</t>
  </si>
  <si>
    <t>O TCE/RS não se responsabiliza pelo uso incorreto desta planilha.</t>
  </si>
  <si>
    <t>% Demitidos s/ Justa Causa em relação ao Estoque Médio</t>
  </si>
  <si>
    <t>Taxa de Rotatividade</t>
  </si>
  <si>
    <t>Acordo</t>
  </si>
  <si>
    <t>Estoque recuperado início do Período 01-03-2018</t>
  </si>
  <si>
    <t>Estoque recuperado final do Período 28-02-2019</t>
  </si>
  <si>
    <t>Variação Emprego Absoluta de 01-03-2018 a 28-02-2019</t>
  </si>
  <si>
    <t xml:space="preserve">O orçamento deve ser realizado por responsável técnico habilitado e é de </t>
  </si>
  <si>
    <t>responsabilidade do seu autor.</t>
  </si>
  <si>
    <t>realizada nos últimos 12 meses</t>
  </si>
  <si>
    <t xml:space="preserve"> todos os turnos de trabalho.</t>
  </si>
  <si>
    <t>Obs:</t>
  </si>
  <si>
    <t>&gt; Informar a população do município a ser atendida</t>
  </si>
  <si>
    <t xml:space="preserve">&gt; Caso o município possua informações de pesagem, ajustar com o valor da geração média per capita </t>
  </si>
  <si>
    <t>&gt; Informe o número de dias de coleta por semana</t>
  </si>
  <si>
    <t xml:space="preserve">&gt; Informar 1 para caminhão toco; Informar 2 para caminhão truck </t>
  </si>
  <si>
    <t>&gt; Informar a capacidade do compactador em m³</t>
  </si>
  <si>
    <t>&gt; Informar o número de percursos de coleta (cargas) que cada caminhão realiza por dia, considerando</t>
  </si>
  <si>
    <t xml:space="preserve">O orçamento deve ser realizado por responsável técnico habilitado e é </t>
  </si>
  <si>
    <t>de responsabilidade do seu autor.</t>
  </si>
  <si>
    <t xml:space="preserve">O orçamento deve ser realizado por responsável técnico habilitado e </t>
  </si>
  <si>
    <t>é de responsabilidade do seu autor.</t>
  </si>
  <si>
    <t>Valores R$</t>
  </si>
  <si>
    <t xml:space="preserve">Ordem </t>
  </si>
  <si>
    <t xml:space="preserve">Periodicidade: Segunda a sábado </t>
  </si>
  <si>
    <t xml:space="preserve">Nr. Func. </t>
  </si>
  <si>
    <t xml:space="preserve">Cargo </t>
  </si>
  <si>
    <t xml:space="preserve">Dias </t>
  </si>
  <si>
    <t xml:space="preserve">Entrada </t>
  </si>
  <si>
    <t>Saída</t>
  </si>
  <si>
    <t>Total Horas</t>
  </si>
  <si>
    <t xml:space="preserve">Total de horas por coletor </t>
  </si>
  <si>
    <t xml:space="preserve">Total de dias por semana </t>
  </si>
  <si>
    <t xml:space="preserve">Total de horas por semana </t>
  </si>
  <si>
    <t xml:space="preserve">Dias úteis semana </t>
  </si>
  <si>
    <t>Total de dias com (DSR) Descanso Semanal Remunerado</t>
  </si>
  <si>
    <t>Total de horas/dia com (DSR)</t>
  </si>
  <si>
    <t xml:space="preserve">Total de dias no mês (30 dias) </t>
  </si>
  <si>
    <t>Total geral de horas mês com (DSR)</t>
  </si>
  <si>
    <t xml:space="preserve">Total de horas por motorista </t>
  </si>
  <si>
    <t>Total geral de horas base mês com (DSR)</t>
  </si>
  <si>
    <t xml:space="preserve">Fator de utilização </t>
  </si>
  <si>
    <t>Planilha com os horários dos funcionários coleta de lixo orgânica e seletiva</t>
  </si>
  <si>
    <t>Idade da caçamba</t>
  </si>
  <si>
    <t>Depreciação da caçamba</t>
  </si>
  <si>
    <t>Depreciação mensal da caçamba</t>
  </si>
  <si>
    <t>Distância</t>
  </si>
  <si>
    <t>Und.</t>
  </si>
  <si>
    <t>Cor Linha</t>
  </si>
  <si>
    <t>Ponto a Ponto</t>
  </si>
  <si>
    <t>m</t>
  </si>
  <si>
    <t>Trecho 01</t>
  </si>
  <si>
    <t>1 - 2</t>
  </si>
  <si>
    <t>Trecho 02</t>
  </si>
  <si>
    <t>2 - 3</t>
  </si>
  <si>
    <t>Trecho 03</t>
  </si>
  <si>
    <t>3 - 4</t>
  </si>
  <si>
    <t>Trecho 04</t>
  </si>
  <si>
    <t>4 - 5</t>
  </si>
  <si>
    <t>Trecho 05</t>
  </si>
  <si>
    <t>5 - 6</t>
  </si>
  <si>
    <t>Trecho 06</t>
  </si>
  <si>
    <t>6 - 7</t>
  </si>
  <si>
    <t>Trecho 07</t>
  </si>
  <si>
    <t>7 - 8</t>
  </si>
  <si>
    <t>Trecho 08</t>
  </si>
  <si>
    <t>Trecho 09</t>
  </si>
  <si>
    <t>Trecho 10</t>
  </si>
  <si>
    <t>Trecho 11</t>
  </si>
  <si>
    <t>Trecho 12</t>
  </si>
  <si>
    <t>Trecho 13</t>
  </si>
  <si>
    <t>Trecho 14</t>
  </si>
  <si>
    <t>Trecho 15</t>
  </si>
  <si>
    <t>Distância total da Rota:</t>
  </si>
  <si>
    <t xml:space="preserve">KG/dia </t>
  </si>
  <si>
    <t xml:space="preserve">Total Geral toneladas ano </t>
  </si>
  <si>
    <t xml:space="preserve">Ton/Mês </t>
  </si>
  <si>
    <t>Rota 1  - Coleta de Resíduos Domiciliares - Orgânicos e Seletivos</t>
  </si>
  <si>
    <t>Dias da semana</t>
  </si>
  <si>
    <t>Nu. Coleta Semanal</t>
  </si>
  <si>
    <t>Locais de coleta:  Toda a área urbana da cidade</t>
  </si>
  <si>
    <t>Trecho</t>
  </si>
  <si>
    <t>x</t>
  </si>
  <si>
    <t>Total Semanal</t>
  </si>
  <si>
    <t>Km</t>
  </si>
  <si>
    <t>Total Mensal</t>
  </si>
  <si>
    <t>8 - 9</t>
  </si>
  <si>
    <t>9 - 10</t>
  </si>
  <si>
    <t>10 - 11</t>
  </si>
  <si>
    <t>11 - 12</t>
  </si>
  <si>
    <t>12 - 13</t>
  </si>
  <si>
    <t>13 - 14</t>
  </si>
  <si>
    <t>14 - 15</t>
  </si>
  <si>
    <t>15 - 16</t>
  </si>
  <si>
    <t>Coletor Orgânico</t>
  </si>
  <si>
    <t>Coletor Seletivo</t>
  </si>
  <si>
    <t>Motorista Orgânico</t>
  </si>
  <si>
    <t xml:space="preserve">Motorista Seletivo </t>
  </si>
  <si>
    <t xml:space="preserve">Cargo: Coletor de lixo orgânico </t>
  </si>
  <si>
    <t xml:space="preserve">Cargo: Motorista da coleta do lixo orgânico </t>
  </si>
  <si>
    <t>Tributos - PIS/COFINS/ e CPP se houver</t>
  </si>
  <si>
    <t>3.1. Veículo Coletor com compactador</t>
  </si>
  <si>
    <t>Custo de aquisição do compactador</t>
  </si>
  <si>
    <t>Idade do chassis</t>
  </si>
  <si>
    <t>Depreciação mensal do chassis</t>
  </si>
  <si>
    <t>1.4. Encarregado/Supervisor</t>
  </si>
  <si>
    <t>Encarregado</t>
  </si>
  <si>
    <t>1. Esta planilha é somente um modelo-base. Qualquer custo previsto no edital e não contemplado nesta planilha deverá ser devidamente incluído</t>
  </si>
  <si>
    <t>3. As células azuis deverão ter seus valores preenchidos em outra planilha do arquivo.</t>
  </si>
  <si>
    <t>Piso da categoria (1)</t>
  </si>
  <si>
    <t>Salário mínimo nacional (2)</t>
  </si>
  <si>
    <t>Obs: Sinecarga salário R$1.826,93 + o percentual de IPCA 3,89% =R$1.898,00</t>
  </si>
  <si>
    <t>1.4. Encarregado</t>
  </si>
  <si>
    <t xml:space="preserve">Botina de segurança </t>
  </si>
  <si>
    <r>
      <t>3.1. Veículo Carreta Basculante</t>
    </r>
    <r>
      <rPr>
        <sz val="10"/>
        <color indexed="10"/>
        <rFont val="Arial"/>
        <family val="2"/>
      </rPr>
      <t xml:space="preserve"> xx</t>
    </r>
    <r>
      <rPr>
        <sz val="10"/>
        <rFont val="Arial"/>
        <family val="2"/>
      </rPr>
      <t xml:space="preserve"> m³</t>
    </r>
  </si>
  <si>
    <t xml:space="preserve">Depreciação mensal veículos </t>
  </si>
  <si>
    <t>Custo de aquisição da caçamba</t>
  </si>
  <si>
    <t xml:space="preserve">Vida útil </t>
  </si>
  <si>
    <t>Custo do jogo de pneus xxx/xx Rxx</t>
  </si>
  <si>
    <t xml:space="preserve">4. Destinação final </t>
  </si>
  <si>
    <t xml:space="preserve">Destinação Final </t>
  </si>
  <si>
    <t xml:space="preserve">Ton. </t>
  </si>
  <si>
    <t>Custo Mensal com Destinação Final (R$/mês)</t>
  </si>
  <si>
    <t>5. Benefícios e Despesas Indiretas - BDI</t>
  </si>
  <si>
    <t xml:space="preserve">4. Destino Final </t>
  </si>
  <si>
    <t xml:space="preserve">Resumo Custo Edital do Lixo </t>
  </si>
  <si>
    <t xml:space="preserve">Descrição </t>
  </si>
  <si>
    <t>IPCA</t>
  </si>
  <si>
    <t>Valor Atual</t>
  </si>
  <si>
    <t xml:space="preserve">Diferença </t>
  </si>
  <si>
    <t>Total Geral</t>
  </si>
  <si>
    <t xml:space="preserve">Toneladas Total </t>
  </si>
  <si>
    <t>Custo R$/Ton</t>
  </si>
  <si>
    <t>Resumo</t>
  </si>
  <si>
    <t xml:space="preserve">Admin. </t>
  </si>
  <si>
    <t>Encargos Soc.</t>
  </si>
  <si>
    <t xml:space="preserve">Total % </t>
  </si>
  <si>
    <t>Total Margem</t>
  </si>
  <si>
    <t xml:space="preserve">Destino Final </t>
  </si>
  <si>
    <t xml:space="preserve">Obs: Convenção Coletiva (Sind. ASSEIO 2020).  </t>
  </si>
  <si>
    <t>Obs: Salário do motorista conforme Convenção Coletiva (Sinecarga 2019/2020)</t>
  </si>
  <si>
    <t>Publicidade (adesivos equipamentos e veículos)</t>
  </si>
  <si>
    <t xml:space="preserve">mês </t>
  </si>
  <si>
    <t xml:space="preserve">Publicidade/Educação ambiental </t>
  </si>
  <si>
    <t xml:space="preserve">Preço total por Ton em reais </t>
  </si>
  <si>
    <t>Período: Estimativa 2020</t>
  </si>
  <si>
    <t xml:space="preserve">Prefeitura Municipal de Nova Bassano </t>
  </si>
  <si>
    <t>Obs: Salário R$1.555,34 - Considerado a inflação IPCA dos últimos 12 meses 2,31% = (R$1.591,27)</t>
  </si>
  <si>
    <t>Valor atual R$</t>
  </si>
  <si>
    <t xml:space="preserve">PO Novo </t>
  </si>
  <si>
    <t>Diferença %</t>
  </si>
  <si>
    <t>Fator de util.</t>
  </si>
  <si>
    <t xml:space="preserve">Plano de Benefício Social </t>
  </si>
  <si>
    <t xml:space="preserve">1.8. Plano de Benefício Social  </t>
  </si>
  <si>
    <t xml:space="preserve">Considerado 6 horas semanais.  </t>
  </si>
  <si>
    <t>ROTAS DE COLETA</t>
  </si>
  <si>
    <t xml:space="preserve">Resumo do Percurso - Coleta de Resíduos Domiciliares - Orgânico </t>
  </si>
  <si>
    <t xml:space="preserve">Total dos percursos Orgânicos </t>
  </si>
  <si>
    <t>Locais de coleta:  Toda a área urbana da cidade + Povoado Zanetti</t>
  </si>
  <si>
    <t xml:space="preserve">Coleta Rota 1 </t>
  </si>
  <si>
    <t>Rota</t>
  </si>
  <si>
    <t>Distância: Coleta +  Transporte</t>
  </si>
  <si>
    <t>Garagem/Balança - Inicio da Rota 1</t>
  </si>
  <si>
    <t>Inicio da Rota 1 - Final da Rota 1</t>
  </si>
  <si>
    <t>Rota 1</t>
  </si>
  <si>
    <t>Final da rota 1 - Aterro Sanitário</t>
  </si>
  <si>
    <t>Segunda (Viagem extra até o Aterro Sanitário)</t>
  </si>
  <si>
    <t>Aterro Sanitário - Balança/Garagem</t>
  </si>
  <si>
    <t>Distância total diária:</t>
  </si>
  <si>
    <t>Rota 2</t>
  </si>
  <si>
    <t>Quarta  e Sábado</t>
  </si>
  <si>
    <t>Coleta Rota 2</t>
  </si>
  <si>
    <t>Garagem/Balança - Inicio da Rota 2</t>
  </si>
  <si>
    <t>Final da rota 2 - Aterro Sanitário</t>
  </si>
  <si>
    <t>Total dos percursos Seletivos</t>
  </si>
  <si>
    <t>Sem Coleta</t>
  </si>
  <si>
    <t xml:space="preserve">Resumo do Percurso - Coleta de Resíduos Domiciliares - Seletivo </t>
  </si>
  <si>
    <t>Terça</t>
  </si>
  <si>
    <t>Rota 3</t>
  </si>
  <si>
    <t>Terça  (na segunda semana do mês,  uma coleta mensal)</t>
  </si>
  <si>
    <t>Rota 2  - Coleta de Resíduos Domiciliares - Orgânicos, Seletivos e Volumosos</t>
  </si>
  <si>
    <t>Final da rota 1 - Centro de Triagem</t>
  </si>
  <si>
    <t>Centro de Triagem - Balança/Garagem</t>
  </si>
  <si>
    <t>Rotas 1,2 e 3</t>
  </si>
  <si>
    <t>Inicio da Rota 2 - Final da Rota 2</t>
  </si>
  <si>
    <t>Final da rota 2 - Centro de Triagem</t>
  </si>
  <si>
    <t>Total dos percursos dos Volumosos</t>
  </si>
  <si>
    <t>Coleta Rota 3 - interior</t>
  </si>
  <si>
    <t>Terça ( Primeira semana do mês)</t>
  </si>
  <si>
    <t>Garagem/Balança - Inicio da Rota 3</t>
  </si>
  <si>
    <t>Inicio da Rota 3 - Final da Rota 3</t>
  </si>
  <si>
    <t>Final da rota 3 - Centro de Triagem</t>
  </si>
  <si>
    <t>Rota 3  - Coleta de Resíduos Domiciliares - Seletivos Interior</t>
  </si>
  <si>
    <t>Locais de coleta:  Toda a área do interior da cidade</t>
  </si>
  <si>
    <t>Resumo do Percurso - Coleta de Resíduos Domiciliares - Volumosos</t>
  </si>
  <si>
    <t xml:space="preserve">Considerado 4 horas semanais.  </t>
  </si>
  <si>
    <t xml:space="preserve">PREFEITURA MUNICIPAL DE NOVA BASSANO </t>
  </si>
  <si>
    <t>2. Benefícios e Despesas Indiretas - BDI</t>
  </si>
  <si>
    <t xml:space="preserve">Fonte: Estimativas com base nos dados referenciais 2020.  </t>
  </si>
  <si>
    <t>População IBGE 2020</t>
  </si>
  <si>
    <t xml:space="preserve">Aluguel contentores </t>
  </si>
  <si>
    <t>Coleta seletiva e volumosos</t>
  </si>
  <si>
    <t>Quarta e sábado</t>
  </si>
  <si>
    <t>Coletor Interior</t>
  </si>
  <si>
    <t xml:space="preserve">Coletor Volumosos </t>
  </si>
  <si>
    <t xml:space="preserve">1a terça de cada mês </t>
  </si>
  <si>
    <t>2a terça de cada mês</t>
  </si>
  <si>
    <t xml:space="preserve">Motorista interior </t>
  </si>
  <si>
    <t>Motorista volumosos</t>
  </si>
  <si>
    <t xml:space="preserve">Motorista Rejeitos </t>
  </si>
  <si>
    <t xml:space="preserve">Cargo: Coletor de lixo seletivo, interior e volumosos </t>
  </si>
  <si>
    <t xml:space="preserve">Cargo: Motorista da coleta do lixo seletivo, interior e volumosos </t>
  </si>
  <si>
    <t xml:space="preserve">Composição dos Encargos Sociais </t>
  </si>
  <si>
    <t>6. CAGED</t>
  </si>
  <si>
    <t>Composição do BDI - Benefícios e Despesas Indiretas</t>
  </si>
  <si>
    <t>Depreciação Referencial TCE/RS (%)</t>
  </si>
  <si>
    <t>Remuneração de Capital</t>
  </si>
  <si>
    <t>Dimensionamento da frota</t>
  </si>
  <si>
    <t xml:space="preserve">Coleta orgânica, Transporte </t>
  </si>
  <si>
    <t xml:space="preserve">4. Ferramentas, Materiais de Consumo e Educação Ambiental </t>
  </si>
  <si>
    <t>Lavagem dos caminhões compactadores semanal</t>
  </si>
  <si>
    <t xml:space="preserve">Custo do jogo de pneus </t>
  </si>
  <si>
    <t xml:space="preserve">Custo mensal com Arla </t>
  </si>
  <si>
    <t>Custo de arla (5% do consumo de Óleo Diesel)</t>
  </si>
  <si>
    <t xml:space="preserve">Investimento médio total </t>
  </si>
  <si>
    <t xml:space="preserve">Remuneração mensal de capital </t>
  </si>
  <si>
    <t>Equipamentos</t>
  </si>
  <si>
    <t>Vida útil do compactador</t>
  </si>
  <si>
    <t>Idade do compactador</t>
  </si>
  <si>
    <t>Depreciação do compactador</t>
  </si>
  <si>
    <t>Depreciação mensal do compactador</t>
  </si>
  <si>
    <t>1.1.1. Depreciação</t>
  </si>
  <si>
    <t xml:space="preserve">Total </t>
  </si>
  <si>
    <t>1.1.2. Remuneração do Capital</t>
  </si>
  <si>
    <t>Valor do container proposto (V0)</t>
  </si>
  <si>
    <t>Custo de lavagem</t>
  </si>
  <si>
    <t>Custo de perdas e reposição</t>
  </si>
  <si>
    <t>unidades</t>
  </si>
  <si>
    <t>PREÇO POR CONTAINER:  [A/B]</t>
  </si>
  <si>
    <t>R$/UNIDADE</t>
  </si>
  <si>
    <t>1. Locação de Contentores</t>
  </si>
  <si>
    <t xml:space="preserve">Custo de aquisição dos contentores </t>
  </si>
  <si>
    <t xml:space="preserve">Idade do contentor </t>
  </si>
  <si>
    <t xml:space="preserve">Vida útil do contentor </t>
  </si>
  <si>
    <t xml:space="preserve">1.1.3 Lavagem e manutenção dos contentores </t>
  </si>
  <si>
    <t>Custo mensal com lavagem de contentores</t>
  </si>
  <si>
    <t xml:space="preserve">1. Contentores </t>
  </si>
  <si>
    <t>Total de Contentores</t>
  </si>
  <si>
    <t>Depreciação do contentor</t>
  </si>
  <si>
    <t xml:space="preserve">Depreciação mensal contentor </t>
  </si>
  <si>
    <t>Custo dos contentores</t>
  </si>
  <si>
    <t xml:space="preserve">Investimento médio total dos contentores </t>
  </si>
  <si>
    <t>Remuneração mensal de capital dos contentores</t>
  </si>
  <si>
    <t>Custo mensal com manutenção, reposição e materiais</t>
  </si>
  <si>
    <t xml:space="preserve">Quantidade de contentores mês: </t>
  </si>
  <si>
    <t xml:space="preserve"> TOTAL = ROTAS DE COLETA + TRANSPORTE </t>
  </si>
  <si>
    <t xml:space="preserve">TOTAL MENSAL = ROTAS DE COLETA + TRANSPORTE </t>
  </si>
  <si>
    <t>Prefeitura Municipal de Nova Bassano</t>
  </si>
  <si>
    <t>Previsão Toneladas de resíduos orgânicos coletados e enviadas ao aterro sanitário</t>
  </si>
  <si>
    <t xml:space="preserve">Tolenadas de resíduos coletados em Nova Bassano </t>
  </si>
  <si>
    <t>1. Coleta de Resíduos Seletivos e Volumosos</t>
  </si>
  <si>
    <t>Pesagem dos caminhões (02 por dia)</t>
  </si>
  <si>
    <t xml:space="preserve">Pesagem dos caminhões (02 por/dia) </t>
  </si>
  <si>
    <t>Segunda e quinta</t>
  </si>
  <si>
    <t>Terça e sexta</t>
  </si>
  <si>
    <t xml:space="preserve">sexta </t>
  </si>
  <si>
    <t>Sexta</t>
  </si>
  <si>
    <t>Sexta (Viagem do Centro de Triagem até o Aterro Sanitário)</t>
  </si>
  <si>
    <t xml:space="preserve">1. Coleta e Transportes de Resíduos Sólidos </t>
  </si>
</sst>
</file>

<file path=xl/styles.xml><?xml version="1.0" encoding="utf-8"?>
<styleSheet xmlns="http://schemas.openxmlformats.org/spreadsheetml/2006/main">
  <numFmts count="1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 &quot;#,##0.00_);\(&quot;R$ &quot;#,##0.00\)"/>
    <numFmt numFmtId="165" formatCode="_(* #,##0.00_);_(* \(#,##0.00\);_(* &quot;-&quot;??_);_(@_)"/>
    <numFmt numFmtId="166" formatCode="_(* #,##0_);_(* \(#,##0\);_(* &quot;-&quot;??_);_(@_)"/>
    <numFmt numFmtId="167" formatCode="_(* #,##0.000_);_(* \(#,##0.000\);_(* &quot;-&quot;??_);_(@_)"/>
    <numFmt numFmtId="168" formatCode="&quot;R$ &quot;#,##0.00"/>
    <numFmt numFmtId="169" formatCode="0.0000"/>
    <numFmt numFmtId="170" formatCode="_-* #,##0.000_-;\-* #,##0.000_-;_-* &quot;-&quot;??_-;_-@_-"/>
    <numFmt numFmtId="171" formatCode="_-* #,##0.00_-;\-* #,##0.00_-;_-* &quot;-&quot;?_-;_-@_-"/>
    <numFmt numFmtId="172" formatCode="_-* #,##0_-;\-* #,##0_-;_-* &quot;-&quot;?_-;_-@_-"/>
    <numFmt numFmtId="173" formatCode="_-* #,##0_-;\-* #,##0_-;_-* &quot;-&quot;??_-;_-@_-"/>
    <numFmt numFmtId="174" formatCode="_-* #,##0.0_-;\-* #,##0.0_-;_-* &quot;-&quot;??_-;_-@_-"/>
    <numFmt numFmtId="175" formatCode="_ * #,##0.00_ ;_ * \-#,##0.00_ ;_ * &quot;-&quot;??_ ;_ @_ "/>
    <numFmt numFmtId="176" formatCode="_(* #,##0.0000_);_(* \(#,##0.0000\);_(* &quot;-&quot;??_);_(@_)"/>
    <numFmt numFmtId="177" formatCode="0.0"/>
    <numFmt numFmtId="178" formatCode="0.000"/>
    <numFmt numFmtId="179" formatCode="_(* #,##0.0000000_);_(* \(#,##0.0000000\);_(* &quot;-&quot;??_);_(@_)"/>
  </numFmts>
  <fonts count="5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2"/>
      <color theme="1"/>
      <name val="Arial"/>
      <family val="2"/>
    </font>
    <font>
      <vertAlign val="subscript"/>
      <sz val="12"/>
      <color indexed="8"/>
      <name val="Arial"/>
      <family val="2"/>
    </font>
    <font>
      <sz val="12"/>
      <color indexed="8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3"/>
      <color theme="1"/>
      <name val="Arial"/>
      <family val="2"/>
    </font>
    <font>
      <sz val="10"/>
      <color theme="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color rgb="FFFF0000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Tahoma"/>
      <family val="2"/>
    </font>
    <font>
      <sz val="10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22" fillId="0" borderId="0" applyNumberFormat="0" applyFill="0" applyBorder="0" applyAlignment="0" applyProtection="0">
      <alignment vertical="top"/>
      <protection locked="0"/>
    </xf>
    <xf numFmtId="9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174" fontId="47" fillId="0" borderId="0" applyFont="0" applyFill="0" applyBorder="0" applyAlignment="0" applyProtection="0"/>
    <xf numFmtId="0" fontId="14" fillId="0" borderId="0"/>
    <xf numFmtId="0" fontId="15" fillId="0" borderId="0"/>
    <xf numFmtId="0" fontId="47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47" fillId="0" borderId="0" applyFont="0" applyFill="0" applyBorder="0" applyAlignment="0" applyProtection="0"/>
    <xf numFmtId="9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5" fillId="0" borderId="0" applyFont="0" applyFill="0" applyBorder="0" applyAlignment="0" applyProtection="0"/>
    <xf numFmtId="0" fontId="13" fillId="0" borderId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761">
    <xf numFmtId="0" fontId="0" fillId="0" borderId="0" xfId="0"/>
    <xf numFmtId="0" fontId="20" fillId="0" borderId="0" xfId="0" applyFont="1"/>
    <xf numFmtId="0" fontId="20" fillId="0" borderId="1" xfId="0" applyFont="1" applyBorder="1"/>
    <xf numFmtId="0" fontId="20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165" fontId="0" fillId="0" borderId="0" xfId="3" applyFont="1" applyAlignment="1">
      <alignment vertical="center"/>
    </xf>
    <xf numFmtId="0" fontId="15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165" fontId="20" fillId="0" borderId="0" xfId="3" applyFont="1" applyAlignment="1">
      <alignment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20" fillId="0" borderId="2" xfId="0" applyFont="1" applyBorder="1" applyAlignment="1">
      <alignment vertical="center"/>
    </xf>
    <xf numFmtId="0" fontId="20" fillId="0" borderId="2" xfId="0" applyFont="1" applyBorder="1" applyAlignment="1">
      <alignment horizontal="center" vertical="center"/>
    </xf>
    <xf numFmtId="165" fontId="20" fillId="0" borderId="2" xfId="3" applyFont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20" fillId="0" borderId="1" xfId="0" applyFont="1" applyBorder="1" applyAlignment="1">
      <alignment horizontal="center" vertical="center"/>
    </xf>
    <xf numFmtId="165" fontId="20" fillId="0" borderId="1" xfId="3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165" fontId="20" fillId="0" borderId="0" xfId="3" applyFont="1" applyAlignment="1">
      <alignment horizontal="center" vertical="center"/>
    </xf>
    <xf numFmtId="165" fontId="17" fillId="2" borderId="4" xfId="3" applyFont="1" applyFill="1" applyBorder="1" applyAlignment="1">
      <alignment horizontal="center" vertical="center"/>
    </xf>
    <xf numFmtId="165" fontId="17" fillId="2" borderId="4" xfId="3" applyFont="1" applyFill="1" applyBorder="1" applyAlignment="1">
      <alignment vertical="center"/>
    </xf>
    <xf numFmtId="165" fontId="17" fillId="0" borderId="0" xfId="3" applyFont="1" applyFill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17" fillId="0" borderId="6" xfId="0" applyFont="1" applyBorder="1" applyAlignment="1">
      <alignment vertical="center"/>
    </xf>
    <xf numFmtId="165" fontId="17" fillId="0" borderId="6" xfId="3" applyFont="1" applyBorder="1" applyAlignment="1">
      <alignment vertical="center"/>
    </xf>
    <xf numFmtId="165" fontId="17" fillId="0" borderId="7" xfId="3" applyFont="1" applyBorder="1" applyAlignment="1">
      <alignment vertical="center"/>
    </xf>
    <xf numFmtId="0" fontId="20" fillId="0" borderId="6" xfId="0" applyFont="1" applyBorder="1" applyAlignment="1">
      <alignment vertical="center"/>
    </xf>
    <xf numFmtId="165" fontId="20" fillId="0" borderId="6" xfId="3" applyFont="1" applyBorder="1" applyAlignment="1">
      <alignment vertical="center"/>
    </xf>
    <xf numFmtId="165" fontId="20" fillId="0" borderId="7" xfId="3" applyFont="1" applyBorder="1" applyAlignment="1">
      <alignment vertical="center"/>
    </xf>
    <xf numFmtId="165" fontId="17" fillId="0" borderId="0" xfId="3" applyFont="1" applyBorder="1" applyAlignment="1">
      <alignment horizontal="center" vertical="center"/>
    </xf>
    <xf numFmtId="3" fontId="20" fillId="0" borderId="0" xfId="0" applyNumberFormat="1" applyFont="1" applyAlignment="1">
      <alignment vertical="center"/>
    </xf>
    <xf numFmtId="165" fontId="17" fillId="0" borderId="0" xfId="3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165" fontId="17" fillId="0" borderId="0" xfId="3" applyFont="1" applyBorder="1" applyAlignment="1">
      <alignment vertical="center"/>
    </xf>
    <xf numFmtId="165" fontId="19" fillId="0" borderId="0" xfId="3" applyFont="1" applyAlignment="1">
      <alignment vertical="center"/>
    </xf>
    <xf numFmtId="166" fontId="20" fillId="0" borderId="1" xfId="3" applyNumberFormat="1" applyFont="1" applyBorder="1" applyAlignment="1">
      <alignment vertical="center"/>
    </xf>
    <xf numFmtId="165" fontId="20" fillId="0" borderId="0" xfId="3" applyFont="1"/>
    <xf numFmtId="165" fontId="18" fillId="0" borderId="0" xfId="3" applyFont="1" applyAlignment="1">
      <alignment vertical="center"/>
    </xf>
    <xf numFmtId="165" fontId="0" fillId="0" borderId="11" xfId="3" applyFont="1" applyBorder="1" applyAlignment="1">
      <alignment vertical="center"/>
    </xf>
    <xf numFmtId="165" fontId="17" fillId="0" borderId="12" xfId="3" applyFont="1" applyBorder="1" applyAlignment="1">
      <alignment horizontal="center" vertical="center"/>
    </xf>
    <xf numFmtId="165" fontId="17" fillId="0" borderId="5" xfId="3" applyFont="1" applyBorder="1" applyAlignment="1">
      <alignment horizontal="left" vertical="center"/>
    </xf>
    <xf numFmtId="4" fontId="17" fillId="0" borderId="6" xfId="0" applyNumberFormat="1" applyFont="1" applyBorder="1" applyAlignment="1">
      <alignment horizontal="centerContinuous" vertical="center"/>
    </xf>
    <xf numFmtId="165" fontId="17" fillId="0" borderId="0" xfId="3" applyFont="1" applyAlignment="1">
      <alignment vertical="center"/>
    </xf>
    <xf numFmtId="165" fontId="0" fillId="0" borderId="9" xfId="0" applyNumberFormat="1" applyBorder="1" applyAlignment="1">
      <alignment vertical="center"/>
    </xf>
    <xf numFmtId="4" fontId="0" fillId="0" borderId="9" xfId="0" applyNumberFormat="1" applyBorder="1" applyAlignment="1">
      <alignment horizontal="centerContinuous" vertical="center"/>
    </xf>
    <xf numFmtId="165" fontId="0" fillId="0" borderId="9" xfId="3" applyFont="1" applyBorder="1" applyAlignment="1">
      <alignment vertical="center"/>
    </xf>
    <xf numFmtId="165" fontId="17" fillId="0" borderId="13" xfId="3" applyFont="1" applyBorder="1" applyAlignment="1">
      <alignment horizontal="right" vertical="center"/>
    </xf>
    <xf numFmtId="165" fontId="0" fillId="0" borderId="14" xfId="3" applyFont="1" applyBorder="1" applyAlignment="1">
      <alignment vertical="center"/>
    </xf>
    <xf numFmtId="165" fontId="20" fillId="0" borderId="1" xfId="3" applyFont="1" applyBorder="1" applyAlignment="1">
      <alignment vertical="center"/>
    </xf>
    <xf numFmtId="0" fontId="25" fillId="0" borderId="0" xfId="0" applyFont="1" applyAlignment="1">
      <alignment vertical="center"/>
    </xf>
    <xf numFmtId="0" fontId="20" fillId="0" borderId="0" xfId="0" applyFont="1" applyFill="1" applyAlignment="1">
      <alignment vertical="center"/>
    </xf>
    <xf numFmtId="0" fontId="24" fillId="0" borderId="1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165" fontId="20" fillId="0" borderId="0" xfId="3" applyFont="1" applyFill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165" fontId="18" fillId="0" borderId="0" xfId="3" applyFont="1" applyBorder="1" applyAlignment="1">
      <alignment vertical="center"/>
    </xf>
    <xf numFmtId="10" fontId="0" fillId="0" borderId="15" xfId="2" applyNumberFormat="1" applyFont="1" applyBorder="1" applyAlignment="1">
      <alignment vertical="center"/>
    </xf>
    <xf numFmtId="165" fontId="20" fillId="0" borderId="0" xfId="3" applyFont="1" applyBorder="1" applyAlignment="1">
      <alignment vertical="center"/>
    </xf>
    <xf numFmtId="0" fontId="27" fillId="2" borderId="16" xfId="0" applyFont="1" applyFill="1" applyBorder="1" applyAlignment="1">
      <alignment horizontal="center" vertical="center"/>
    </xf>
    <xf numFmtId="0" fontId="27" fillId="2" borderId="17" xfId="0" applyFont="1" applyFill="1" applyBorder="1" applyAlignment="1">
      <alignment horizontal="center" vertical="center"/>
    </xf>
    <xf numFmtId="165" fontId="27" fillId="2" borderId="17" xfId="3" applyFont="1" applyFill="1" applyBorder="1" applyAlignment="1">
      <alignment horizontal="center" vertical="center"/>
    </xf>
    <xf numFmtId="165" fontId="27" fillId="2" borderId="18" xfId="3" applyFont="1" applyFill="1" applyBorder="1" applyAlignment="1">
      <alignment horizontal="center" vertical="center"/>
    </xf>
    <xf numFmtId="165" fontId="17" fillId="0" borderId="19" xfId="3" applyFont="1" applyBorder="1" applyAlignment="1">
      <alignment horizontal="center" vertical="center"/>
    </xf>
    <xf numFmtId="165" fontId="15" fillId="0" borderId="14" xfId="3" applyFont="1" applyBorder="1" applyAlignment="1">
      <alignment horizontal="left" vertical="center"/>
    </xf>
    <xf numFmtId="165" fontId="20" fillId="0" borderId="9" xfId="3" applyFont="1" applyBorder="1" applyAlignment="1">
      <alignment vertical="center"/>
    </xf>
    <xf numFmtId="165" fontId="20" fillId="0" borderId="14" xfId="3" applyFont="1" applyBorder="1" applyAlignment="1">
      <alignment vertical="center"/>
    </xf>
    <xf numFmtId="166" fontId="20" fillId="0" borderId="0" xfId="3" applyNumberFormat="1" applyFont="1" applyBorder="1" applyAlignment="1">
      <alignment horizontal="center" vertical="center"/>
    </xf>
    <xf numFmtId="1" fontId="20" fillId="0" borderId="1" xfId="0" applyNumberFormat="1" applyFont="1" applyBorder="1" applyAlignment="1">
      <alignment horizontal="center" vertical="center"/>
    </xf>
    <xf numFmtId="1" fontId="20" fillId="0" borderId="20" xfId="3" applyNumberFormat="1" applyFont="1" applyBorder="1" applyAlignment="1">
      <alignment horizontal="center" vertical="center"/>
    </xf>
    <xf numFmtId="165" fontId="17" fillId="0" borderId="28" xfId="3" applyFont="1" applyBorder="1" applyAlignment="1">
      <alignment vertical="center"/>
    </xf>
    <xf numFmtId="4" fontId="17" fillId="0" borderId="29" xfId="0" applyNumberFormat="1" applyFont="1" applyBorder="1" applyAlignment="1">
      <alignment vertical="center"/>
    </xf>
    <xf numFmtId="165" fontId="20" fillId="0" borderId="19" xfId="3" applyFont="1" applyBorder="1" applyAlignment="1">
      <alignment vertical="center"/>
    </xf>
    <xf numFmtId="165" fontId="20" fillId="0" borderId="11" xfId="3" applyFont="1" applyBorder="1" applyAlignment="1">
      <alignment vertical="center"/>
    </xf>
    <xf numFmtId="0" fontId="0" fillId="0" borderId="11" xfId="0" applyBorder="1" applyAlignment="1">
      <alignment vertical="center"/>
    </xf>
    <xf numFmtId="1" fontId="20" fillId="0" borderId="12" xfId="3" applyNumberFormat="1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29" xfId="0" applyBorder="1" applyAlignment="1">
      <alignment vertical="center"/>
    </xf>
    <xf numFmtId="1" fontId="17" fillId="0" borderId="31" xfId="3" applyNumberFormat="1" applyFont="1" applyBorder="1" applyAlignment="1">
      <alignment horizontal="center" vertical="center"/>
    </xf>
    <xf numFmtId="165" fontId="26" fillId="0" borderId="1" xfId="3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165" fontId="17" fillId="2" borderId="4" xfId="3" applyNumberFormat="1" applyFont="1" applyFill="1" applyBorder="1" applyAlignment="1">
      <alignment horizontal="center" vertical="center"/>
    </xf>
    <xf numFmtId="165" fontId="20" fillId="0" borderId="1" xfId="3" applyFont="1" applyFill="1" applyBorder="1" applyAlignment="1">
      <alignment horizontal="center" vertical="center"/>
    </xf>
    <xf numFmtId="165" fontId="25" fillId="0" borderId="0" xfId="3" applyFont="1" applyAlignment="1">
      <alignment vertical="center"/>
    </xf>
    <xf numFmtId="43" fontId="20" fillId="0" borderId="0" xfId="0" applyNumberFormat="1" applyFont="1" applyAlignment="1">
      <alignment vertical="center"/>
    </xf>
    <xf numFmtId="0" fontId="20" fillId="3" borderId="1" xfId="0" applyFont="1" applyFill="1" applyBorder="1" applyAlignment="1">
      <alignment horizontal="center" vertical="center"/>
    </xf>
    <xf numFmtId="165" fontId="20" fillId="3" borderId="2" xfId="3" applyFont="1" applyFill="1" applyBorder="1" applyAlignment="1">
      <alignment horizontal="center" vertical="center"/>
    </xf>
    <xf numFmtId="2" fontId="20" fillId="3" borderId="1" xfId="0" applyNumberFormat="1" applyFont="1" applyFill="1" applyBorder="1" applyAlignment="1">
      <alignment horizontal="center" vertical="center"/>
    </xf>
    <xf numFmtId="165" fontId="20" fillId="3" borderId="1" xfId="3" applyFont="1" applyFill="1" applyBorder="1" applyAlignment="1">
      <alignment horizontal="center" vertical="center"/>
    </xf>
    <xf numFmtId="1" fontId="20" fillId="3" borderId="1" xfId="0" applyNumberFormat="1" applyFont="1" applyFill="1" applyBorder="1" applyAlignment="1">
      <alignment horizontal="center" vertical="center"/>
    </xf>
    <xf numFmtId="0" fontId="20" fillId="3" borderId="0" xfId="0" applyFont="1" applyFill="1" applyAlignment="1">
      <alignment vertical="center"/>
    </xf>
    <xf numFmtId="165" fontId="20" fillId="3" borderId="0" xfId="3" applyFont="1" applyFill="1" applyAlignment="1">
      <alignment vertical="center"/>
    </xf>
    <xf numFmtId="0" fontId="20" fillId="0" borderId="0" xfId="0" applyFont="1" applyAlignment="1">
      <alignment horizontal="right" vertical="center"/>
    </xf>
    <xf numFmtId="166" fontId="20" fillId="0" borderId="1" xfId="3" applyNumberFormat="1" applyFont="1" applyBorder="1" applyAlignment="1">
      <alignment horizontal="center" vertical="center"/>
    </xf>
    <xf numFmtId="165" fontId="20" fillId="3" borderId="1" xfId="3" applyNumberFormat="1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4" fontId="20" fillId="3" borderId="2" xfId="0" applyNumberFormat="1" applyFont="1" applyFill="1" applyBorder="1" applyAlignment="1">
      <alignment horizontal="center" vertical="center"/>
    </xf>
    <xf numFmtId="167" fontId="20" fillId="3" borderId="2" xfId="3" applyNumberFormat="1" applyFont="1" applyFill="1" applyBorder="1" applyAlignment="1">
      <alignment horizontal="center" vertical="center"/>
    </xf>
    <xf numFmtId="3" fontId="20" fillId="3" borderId="1" xfId="0" applyNumberFormat="1" applyFont="1" applyFill="1" applyBorder="1" applyAlignment="1">
      <alignment horizontal="center" vertical="center"/>
    </xf>
    <xf numFmtId="4" fontId="20" fillId="3" borderId="1" xfId="0" applyNumberFormat="1" applyFont="1" applyFill="1" applyBorder="1" applyAlignment="1">
      <alignment horizontal="center" vertical="center"/>
    </xf>
    <xf numFmtId="13" fontId="20" fillId="3" borderId="1" xfId="0" applyNumberFormat="1" applyFont="1" applyFill="1" applyBorder="1" applyAlignment="1">
      <alignment horizontal="center" vertical="center"/>
    </xf>
    <xf numFmtId="166" fontId="20" fillId="0" borderId="1" xfId="3" applyNumberFormat="1" applyFont="1" applyFill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165" fontId="17" fillId="0" borderId="1" xfId="3" applyFont="1" applyBorder="1" applyAlignment="1">
      <alignment horizontal="center" vertical="center"/>
    </xf>
    <xf numFmtId="165" fontId="20" fillId="0" borderId="2" xfId="3" applyFont="1" applyFill="1" applyBorder="1" applyAlignment="1">
      <alignment horizontal="center" vertical="center"/>
    </xf>
    <xf numFmtId="0" fontId="22" fillId="0" borderId="0" xfId="1" applyAlignment="1" applyProtection="1">
      <alignment vertical="center"/>
    </xf>
    <xf numFmtId="0" fontId="17" fillId="0" borderId="0" xfId="0" applyFont="1"/>
    <xf numFmtId="0" fontId="27" fillId="2" borderId="32" xfId="0" applyFont="1" applyFill="1" applyBorder="1" applyAlignment="1">
      <alignment horizontal="center" vertical="center"/>
    </xf>
    <xf numFmtId="0" fontId="27" fillId="2" borderId="33" xfId="0" applyFont="1" applyFill="1" applyBorder="1" applyAlignment="1">
      <alignment horizontal="center" vertical="center"/>
    </xf>
    <xf numFmtId="165" fontId="27" fillId="2" borderId="33" xfId="3" applyFont="1" applyFill="1" applyBorder="1" applyAlignment="1">
      <alignment horizontal="center" vertical="center"/>
    </xf>
    <xf numFmtId="165" fontId="20" fillId="0" borderId="0" xfId="3" applyFont="1" applyFill="1" applyAlignment="1">
      <alignment vertical="center"/>
    </xf>
    <xf numFmtId="165" fontId="17" fillId="0" borderId="1" xfId="3" applyFont="1" applyFill="1" applyBorder="1" applyAlignment="1">
      <alignment horizontal="center" vertical="center"/>
    </xf>
    <xf numFmtId="164" fontId="17" fillId="0" borderId="34" xfId="0" applyNumberFormat="1" applyFont="1" applyBorder="1" applyAlignment="1">
      <alignment vertical="center"/>
    </xf>
    <xf numFmtId="165" fontId="17" fillId="0" borderId="35" xfId="3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165" fontId="17" fillId="0" borderId="0" xfId="3" applyFont="1" applyAlignment="1">
      <alignment horizontal="center" vertical="center"/>
    </xf>
    <xf numFmtId="165" fontId="17" fillId="0" borderId="3" xfId="3" applyFont="1" applyBorder="1" applyAlignment="1">
      <alignment horizontal="center" vertical="center"/>
    </xf>
    <xf numFmtId="2" fontId="20" fillId="0" borderId="1" xfId="3" applyNumberFormat="1" applyFont="1" applyBorder="1" applyAlignment="1">
      <alignment horizontal="center" vertical="center"/>
    </xf>
    <xf numFmtId="1" fontId="20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65" fontId="20" fillId="0" borderId="0" xfId="3" applyFont="1" applyAlignment="1">
      <alignment horizontal="right" vertical="center"/>
    </xf>
    <xf numFmtId="165" fontId="17" fillId="2" borderId="7" xfId="3" applyFont="1" applyFill="1" applyBorder="1" applyAlignment="1">
      <alignment horizontal="center" vertical="center"/>
    </xf>
    <xf numFmtId="165" fontId="17" fillId="0" borderId="14" xfId="3" applyFont="1" applyBorder="1" applyAlignment="1">
      <alignment vertical="center"/>
    </xf>
    <xf numFmtId="165" fontId="17" fillId="0" borderId="9" xfId="0" applyNumberFormat="1" applyFont="1" applyBorder="1" applyAlignment="1">
      <alignment vertical="center"/>
    </xf>
    <xf numFmtId="165" fontId="17" fillId="0" borderId="9" xfId="3" applyFont="1" applyBorder="1" applyAlignment="1">
      <alignment vertical="center"/>
    </xf>
    <xf numFmtId="10" fontId="17" fillId="0" borderId="15" xfId="2" applyNumberFormat="1" applyFont="1" applyBorder="1" applyAlignment="1">
      <alignment vertical="center"/>
    </xf>
    <xf numFmtId="165" fontId="17" fillId="0" borderId="38" xfId="3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165" fontId="20" fillId="0" borderId="39" xfId="3" applyFont="1" applyBorder="1" applyAlignment="1">
      <alignment vertical="center"/>
    </xf>
    <xf numFmtId="165" fontId="20" fillId="0" borderId="40" xfId="3" applyFont="1" applyBorder="1" applyAlignment="1">
      <alignment vertical="center"/>
    </xf>
    <xf numFmtId="165" fontId="20" fillId="0" borderId="41" xfId="3" applyFont="1" applyBorder="1" applyAlignment="1">
      <alignment vertical="center"/>
    </xf>
    <xf numFmtId="0" fontId="20" fillId="0" borderId="41" xfId="0" applyFont="1" applyBorder="1" applyAlignment="1">
      <alignment vertical="center"/>
    </xf>
    <xf numFmtId="1" fontId="20" fillId="0" borderId="37" xfId="3" applyNumberFormat="1" applyFont="1" applyBorder="1" applyAlignment="1">
      <alignment horizontal="center" vertical="center"/>
    </xf>
    <xf numFmtId="165" fontId="17" fillId="0" borderId="14" xfId="3" applyFont="1" applyBorder="1" applyAlignment="1">
      <alignment horizontal="left" vertical="center"/>
    </xf>
    <xf numFmtId="4" fontId="17" fillId="0" borderId="9" xfId="0" applyNumberFormat="1" applyFont="1" applyBorder="1" applyAlignment="1">
      <alignment horizontal="centerContinuous" vertical="center"/>
    </xf>
    <xf numFmtId="0" fontId="15" fillId="0" borderId="0" xfId="0" applyFont="1" applyBorder="1" applyAlignment="1">
      <alignment vertical="center"/>
    </xf>
    <xf numFmtId="4" fontId="0" fillId="0" borderId="0" xfId="0" applyNumberForma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165" fontId="20" fillId="6" borderId="1" xfId="3" applyFont="1" applyFill="1" applyBorder="1" applyAlignment="1">
      <alignment horizontal="center" vertical="center"/>
    </xf>
    <xf numFmtId="165" fontId="20" fillId="6" borderId="1" xfId="3" applyFont="1" applyFill="1" applyBorder="1" applyAlignment="1">
      <alignment vertical="center"/>
    </xf>
    <xf numFmtId="9" fontId="17" fillId="0" borderId="18" xfId="2" applyFont="1" applyBorder="1" applyAlignment="1">
      <alignment vertical="center"/>
    </xf>
    <xf numFmtId="10" fontId="20" fillId="0" borderId="15" xfId="2" applyNumberFormat="1" applyFont="1" applyBorder="1" applyAlignment="1">
      <alignment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Border="1" applyAlignment="1">
      <alignment vertical="center"/>
    </xf>
    <xf numFmtId="0" fontId="19" fillId="0" borderId="0" xfId="0" applyFont="1"/>
    <xf numFmtId="0" fontId="19" fillId="0" borderId="0" xfId="0" applyFont="1" applyAlignment="1">
      <alignment horizontal="center"/>
    </xf>
    <xf numFmtId="165" fontId="20" fillId="0" borderId="1" xfId="0" applyNumberFormat="1" applyFont="1" applyFill="1" applyBorder="1" applyAlignment="1">
      <alignment horizontal="center" vertical="center"/>
    </xf>
    <xf numFmtId="0" fontId="31" fillId="0" borderId="0" xfId="0" applyFont="1" applyFill="1" applyAlignment="1">
      <alignment vertical="center"/>
    </xf>
    <xf numFmtId="0" fontId="0" fillId="0" borderId="38" xfId="0" applyFill="1" applyBorder="1" applyAlignment="1">
      <alignment vertical="center"/>
    </xf>
    <xf numFmtId="4" fontId="0" fillId="0" borderId="0" xfId="0" applyNumberFormat="1" applyFill="1" applyBorder="1" applyAlignment="1">
      <alignment vertical="center"/>
    </xf>
    <xf numFmtId="165" fontId="0" fillId="0" borderId="0" xfId="3" applyFont="1" applyFill="1" applyBorder="1" applyAlignment="1">
      <alignment vertical="center"/>
    </xf>
    <xf numFmtId="165" fontId="0" fillId="0" borderId="39" xfId="3" applyFont="1" applyFill="1" applyBorder="1" applyAlignment="1">
      <alignment vertical="center"/>
    </xf>
    <xf numFmtId="0" fontId="20" fillId="0" borderId="1" xfId="0" applyNumberFormat="1" applyFont="1" applyBorder="1" applyAlignment="1">
      <alignment horizontal="center" vertical="center"/>
    </xf>
    <xf numFmtId="166" fontId="17" fillId="0" borderId="0" xfId="3" applyNumberFormat="1" applyFont="1" applyBorder="1" applyAlignment="1">
      <alignment horizontal="center" vertical="center"/>
    </xf>
    <xf numFmtId="0" fontId="32" fillId="0" borderId="14" xfId="0" applyFont="1" applyBorder="1"/>
    <xf numFmtId="0" fontId="20" fillId="0" borderId="0" xfId="0" applyFont="1" applyBorder="1"/>
    <xf numFmtId="0" fontId="32" fillId="0" borderId="47" xfId="0" applyFont="1" applyBorder="1"/>
    <xf numFmtId="0" fontId="32" fillId="3" borderId="20" xfId="0" applyFont="1" applyFill="1" applyBorder="1"/>
    <xf numFmtId="0" fontId="32" fillId="0" borderId="23" xfId="0" applyFont="1" applyBorder="1"/>
    <xf numFmtId="0" fontId="32" fillId="0" borderId="48" xfId="0" applyFont="1" applyBorder="1"/>
    <xf numFmtId="0" fontId="32" fillId="0" borderId="20" xfId="0" applyFont="1" applyBorder="1"/>
    <xf numFmtId="0" fontId="32" fillId="0" borderId="28" xfId="0" applyFont="1" applyBorder="1"/>
    <xf numFmtId="2" fontId="33" fillId="7" borderId="1" xfId="0" applyNumberFormat="1" applyFont="1" applyFill="1" applyBorder="1" applyAlignment="1">
      <alignment horizontal="right" vertical="center"/>
    </xf>
    <xf numFmtId="0" fontId="33" fillId="0" borderId="23" xfId="0" applyFont="1" applyBorder="1" applyAlignment="1">
      <alignment horizontal="center" vertical="center"/>
    </xf>
    <xf numFmtId="0" fontId="33" fillId="0" borderId="24" xfId="0" applyFont="1" applyBorder="1" applyAlignment="1">
      <alignment horizontal="center" vertical="center"/>
    </xf>
    <xf numFmtId="2" fontId="33" fillId="7" borderId="36" xfId="0" applyNumberFormat="1" applyFont="1" applyFill="1" applyBorder="1" applyAlignment="1">
      <alignment horizontal="right" vertical="center"/>
    </xf>
    <xf numFmtId="0" fontId="33" fillId="0" borderId="23" xfId="0" applyFont="1" applyBorder="1" applyAlignment="1">
      <alignment horizontal="left" vertical="center"/>
    </xf>
    <xf numFmtId="0" fontId="33" fillId="0" borderId="1" xfId="0" applyFont="1" applyBorder="1" applyAlignment="1">
      <alignment horizontal="left" vertical="center"/>
    </xf>
    <xf numFmtId="0" fontId="33" fillId="0" borderId="20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10" fontId="33" fillId="0" borderId="20" xfId="0" applyNumberFormat="1" applyFont="1" applyBorder="1" applyAlignment="1">
      <alignment horizontal="right" vertical="center"/>
    </xf>
    <xf numFmtId="0" fontId="33" fillId="0" borderId="0" xfId="0" applyFont="1" applyFill="1" applyBorder="1" applyAlignment="1">
      <alignment horizontal="left" vertical="center"/>
    </xf>
    <xf numFmtId="0" fontId="37" fillId="0" borderId="1" xfId="0" applyFont="1" applyBorder="1" applyAlignment="1">
      <alignment horizontal="left" vertical="center"/>
    </xf>
    <xf numFmtId="10" fontId="37" fillId="0" borderId="20" xfId="0" applyNumberFormat="1" applyFont="1" applyBorder="1" applyAlignment="1">
      <alignment horizontal="right" vertical="center"/>
    </xf>
    <xf numFmtId="0" fontId="33" fillId="5" borderId="23" xfId="0" applyFont="1" applyFill="1" applyBorder="1" applyAlignment="1">
      <alignment horizontal="left" vertical="center"/>
    </xf>
    <xf numFmtId="0" fontId="37" fillId="5" borderId="1" xfId="0" applyFont="1" applyFill="1" applyBorder="1" applyAlignment="1">
      <alignment horizontal="left" vertical="center"/>
    </xf>
    <xf numFmtId="10" fontId="37" fillId="5" borderId="20" xfId="0" applyNumberFormat="1" applyFont="1" applyFill="1" applyBorder="1" applyAlignment="1">
      <alignment horizontal="right" vertical="center"/>
    </xf>
    <xf numFmtId="0" fontId="38" fillId="0" borderId="1" xfId="0" applyFont="1" applyBorder="1" applyAlignment="1">
      <alignment horizontal="left" vertical="center"/>
    </xf>
    <xf numFmtId="0" fontId="39" fillId="0" borderId="0" xfId="0" applyFont="1" applyFill="1" applyBorder="1" applyAlignment="1">
      <alignment horizontal="left" vertical="center"/>
    </xf>
    <xf numFmtId="10" fontId="20" fillId="0" borderId="0" xfId="0" applyNumberFormat="1" applyFont="1"/>
    <xf numFmtId="9" fontId="33" fillId="0" borderId="0" xfId="2" applyFont="1" applyBorder="1" applyAlignment="1">
      <alignment horizontal="right" vertical="center"/>
    </xf>
    <xf numFmtId="10" fontId="20" fillId="0" borderId="0" xfId="0" applyNumberFormat="1" applyFont="1" applyBorder="1"/>
    <xf numFmtId="0" fontId="33" fillId="0" borderId="1" xfId="0" applyFont="1" applyBorder="1" applyAlignment="1">
      <alignment horizontal="left" vertical="center" wrapText="1"/>
    </xf>
    <xf numFmtId="0" fontId="39" fillId="0" borderId="0" xfId="0" applyFont="1" applyBorder="1" applyAlignment="1">
      <alignment horizontal="left" vertical="center"/>
    </xf>
    <xf numFmtId="0" fontId="33" fillId="9" borderId="24" xfId="0" applyFont="1" applyFill="1" applyBorder="1" applyAlignment="1">
      <alignment horizontal="left" vertical="center"/>
    </xf>
    <xf numFmtId="0" fontId="37" fillId="9" borderId="36" xfId="0" applyFont="1" applyFill="1" applyBorder="1" applyAlignment="1">
      <alignment horizontal="left" vertical="center"/>
    </xf>
    <xf numFmtId="10" fontId="37" fillId="9" borderId="37" xfId="0" applyNumberFormat="1" applyFont="1" applyFill="1" applyBorder="1" applyAlignment="1">
      <alignment horizontal="right" vertical="center"/>
    </xf>
    <xf numFmtId="0" fontId="37" fillId="0" borderId="0" xfId="0" applyFont="1" applyFill="1" applyBorder="1" applyAlignment="1">
      <alignment horizontal="left" vertical="center"/>
    </xf>
    <xf numFmtId="10" fontId="37" fillId="0" borderId="0" xfId="0" applyNumberFormat="1" applyFont="1" applyFill="1" applyBorder="1" applyAlignment="1">
      <alignment horizontal="right" vertical="center"/>
    </xf>
    <xf numFmtId="0" fontId="39" fillId="4" borderId="0" xfId="0" applyFont="1" applyFill="1" applyBorder="1" applyAlignment="1">
      <alignment horizontal="left" vertical="center"/>
    </xf>
    <xf numFmtId="10" fontId="33" fillId="0" borderId="0" xfId="0" applyNumberFormat="1" applyFont="1" applyFill="1" applyBorder="1" applyAlignment="1">
      <alignment horizontal="right" vertical="center"/>
    </xf>
    <xf numFmtId="0" fontId="33" fillId="4" borderId="0" xfId="0" applyFont="1" applyFill="1" applyBorder="1" applyAlignment="1">
      <alignment horizontal="left" vertical="center"/>
    </xf>
    <xf numFmtId="10" fontId="33" fillId="0" borderId="0" xfId="0" applyNumberFormat="1" applyFont="1" applyBorder="1" applyAlignment="1">
      <alignment horizontal="right" vertical="center"/>
    </xf>
    <xf numFmtId="0" fontId="37" fillId="0" borderId="0" xfId="0" applyFont="1" applyBorder="1" applyAlignment="1">
      <alignment horizontal="left" vertical="center"/>
    </xf>
    <xf numFmtId="10" fontId="37" fillId="0" borderId="0" xfId="0" applyNumberFormat="1" applyFont="1" applyBorder="1" applyAlignment="1">
      <alignment horizontal="right" vertical="center"/>
    </xf>
    <xf numFmtId="0" fontId="40" fillId="0" borderId="0" xfId="0" applyFont="1" applyBorder="1" applyAlignment="1">
      <alignment horizontal="justify" vertical="center"/>
    </xf>
    <xf numFmtId="0" fontId="22" fillId="0" borderId="0" xfId="1" applyFont="1" applyBorder="1" applyAlignment="1" applyProtection="1">
      <alignment horizontal="left" vertical="center"/>
    </xf>
    <xf numFmtId="0" fontId="41" fillId="0" borderId="0" xfId="0" applyFont="1" applyBorder="1"/>
    <xf numFmtId="0" fontId="33" fillId="0" borderId="0" xfId="0" applyFont="1" applyBorder="1" applyAlignment="1">
      <alignment horizontal="right" vertical="center"/>
    </xf>
    <xf numFmtId="0" fontId="22" fillId="0" borderId="0" xfId="1" applyFont="1" applyBorder="1" applyAlignment="1" applyProtection="1">
      <alignment vertical="center"/>
    </xf>
    <xf numFmtId="0" fontId="19" fillId="0" borderId="15" xfId="0" applyFont="1" applyBorder="1"/>
    <xf numFmtId="0" fontId="19" fillId="0" borderId="23" xfId="0" applyFont="1" applyBorder="1"/>
    <xf numFmtId="0" fontId="19" fillId="3" borderId="20" xfId="0" applyFont="1" applyFill="1" applyBorder="1"/>
    <xf numFmtId="0" fontId="19" fillId="0" borderId="47" xfId="0" applyFont="1" applyBorder="1"/>
    <xf numFmtId="0" fontId="19" fillId="3" borderId="48" xfId="0" applyFont="1" applyFill="1" applyBorder="1"/>
    <xf numFmtId="0" fontId="19" fillId="0" borderId="49" xfId="0" applyFont="1" applyBorder="1"/>
    <xf numFmtId="0" fontId="19" fillId="3" borderId="50" xfId="0" applyFont="1" applyFill="1" applyBorder="1"/>
    <xf numFmtId="0" fontId="19" fillId="0" borderId="38" xfId="0" applyFont="1" applyBorder="1"/>
    <xf numFmtId="0" fontId="19" fillId="0" borderId="39" xfId="0" applyFont="1" applyBorder="1"/>
    <xf numFmtId="0" fontId="21" fillId="0" borderId="48" xfId="0" applyFont="1" applyBorder="1"/>
    <xf numFmtId="0" fontId="21" fillId="0" borderId="38" xfId="0" applyFont="1" applyFill="1" applyBorder="1" applyAlignment="1">
      <alignment horizontal="left" vertical="center"/>
    </xf>
    <xf numFmtId="0" fontId="19" fillId="0" borderId="0" xfId="0" applyFont="1" applyBorder="1"/>
    <xf numFmtId="9" fontId="19" fillId="0" borderId="23" xfId="2" applyFont="1" applyBorder="1"/>
    <xf numFmtId="9" fontId="19" fillId="0" borderId="1" xfId="2" applyFont="1" applyBorder="1" applyAlignment="1">
      <alignment horizontal="center"/>
    </xf>
    <xf numFmtId="9" fontId="19" fillId="0" borderId="20" xfId="2" applyFont="1" applyBorder="1"/>
    <xf numFmtId="0" fontId="19" fillId="0" borderId="21" xfId="0" applyFont="1" applyFill="1" applyBorder="1" applyAlignment="1">
      <alignment horizontal="left" vertical="center"/>
    </xf>
    <xf numFmtId="0" fontId="19" fillId="0" borderId="22" xfId="0" applyFont="1" applyFill="1" applyBorder="1" applyAlignment="1">
      <alignment horizontal="center" vertical="center"/>
    </xf>
    <xf numFmtId="10" fontId="19" fillId="3" borderId="12" xfId="0" applyNumberFormat="1" applyFont="1" applyFill="1" applyBorder="1" applyAlignment="1">
      <alignment horizontal="center" vertical="center"/>
    </xf>
    <xf numFmtId="10" fontId="19" fillId="0" borderId="20" xfId="2" applyNumberFormat="1" applyFont="1" applyBorder="1"/>
    <xf numFmtId="0" fontId="19" fillId="0" borderId="23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/>
    </xf>
    <xf numFmtId="10" fontId="19" fillId="3" borderId="20" xfId="0" applyNumberFormat="1" applyFont="1" applyFill="1" applyBorder="1" applyAlignment="1">
      <alignment horizontal="center" vertical="center"/>
    </xf>
    <xf numFmtId="10" fontId="19" fillId="0" borderId="20" xfId="0" applyNumberFormat="1" applyFont="1" applyFill="1" applyBorder="1" applyAlignment="1">
      <alignment horizontal="center" vertical="center"/>
    </xf>
    <xf numFmtId="10" fontId="19" fillId="3" borderId="1" xfId="2" applyNumberFormat="1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/>
    </xf>
    <xf numFmtId="0" fontId="19" fillId="0" borderId="20" xfId="0" applyFont="1" applyBorder="1"/>
    <xf numFmtId="0" fontId="19" fillId="0" borderId="24" xfId="0" applyFont="1" applyFill="1" applyBorder="1" applyAlignment="1">
      <alignment horizontal="left" vertical="center"/>
    </xf>
    <xf numFmtId="10" fontId="19" fillId="3" borderId="37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9" fillId="0" borderId="25" xfId="0" applyFont="1" applyFill="1" applyBorder="1" applyAlignment="1">
      <alignment vertical="center"/>
    </xf>
    <xf numFmtId="0" fontId="19" fillId="0" borderId="26" xfId="0" applyFont="1" applyFill="1" applyBorder="1" applyAlignment="1">
      <alignment vertical="center"/>
    </xf>
    <xf numFmtId="10" fontId="19" fillId="0" borderId="27" xfId="0" applyNumberFormat="1" applyFont="1" applyFill="1" applyBorder="1" applyAlignment="1">
      <alignment vertical="center"/>
    </xf>
    <xf numFmtId="0" fontId="19" fillId="0" borderId="28" xfId="0" applyFont="1" applyFill="1" applyBorder="1" applyAlignment="1">
      <alignment horizontal="left" vertical="center"/>
    </xf>
    <xf numFmtId="0" fontId="19" fillId="0" borderId="29" xfId="0" applyFont="1" applyFill="1" applyBorder="1" applyAlignment="1">
      <alignment horizontal="left" vertical="center"/>
    </xf>
    <xf numFmtId="0" fontId="19" fillId="0" borderId="30" xfId="0" applyFont="1" applyFill="1" applyBorder="1" applyAlignment="1">
      <alignment vertical="center"/>
    </xf>
    <xf numFmtId="0" fontId="21" fillId="5" borderId="5" xfId="0" applyFont="1" applyFill="1" applyBorder="1" applyAlignment="1">
      <alignment vertical="center" wrapText="1"/>
    </xf>
    <xf numFmtId="0" fontId="19" fillId="5" borderId="6" xfId="0" applyFont="1" applyFill="1" applyBorder="1" applyAlignment="1">
      <alignment vertical="center"/>
    </xf>
    <xf numFmtId="10" fontId="21" fillId="5" borderId="7" xfId="0" applyNumberFormat="1" applyFont="1" applyFill="1" applyBorder="1" applyAlignment="1">
      <alignment horizontal="center" vertical="center" wrapText="1"/>
    </xf>
    <xf numFmtId="10" fontId="19" fillId="0" borderId="23" xfId="2" applyNumberFormat="1" applyFont="1" applyBorder="1" applyAlignment="1">
      <alignment horizontal="right"/>
    </xf>
    <xf numFmtId="10" fontId="19" fillId="0" borderId="1" xfId="2" applyNumberFormat="1" applyFont="1" applyBorder="1" applyAlignment="1">
      <alignment horizontal="right"/>
    </xf>
    <xf numFmtId="10" fontId="19" fillId="0" borderId="20" xfId="2" applyNumberFormat="1" applyFont="1" applyBorder="1" applyAlignment="1">
      <alignment horizontal="right"/>
    </xf>
    <xf numFmtId="10" fontId="19" fillId="0" borderId="24" xfId="2" applyNumberFormat="1" applyFont="1" applyBorder="1" applyAlignment="1">
      <alignment horizontal="right"/>
    </xf>
    <xf numFmtId="10" fontId="19" fillId="0" borderId="36" xfId="2" applyNumberFormat="1" applyFont="1" applyBorder="1" applyAlignment="1">
      <alignment horizontal="right"/>
    </xf>
    <xf numFmtId="10" fontId="19" fillId="0" borderId="37" xfId="2" applyNumberFormat="1" applyFont="1" applyBorder="1" applyAlignment="1">
      <alignment horizontal="right"/>
    </xf>
    <xf numFmtId="0" fontId="20" fillId="0" borderId="52" xfId="0" applyFont="1" applyBorder="1"/>
    <xf numFmtId="0" fontId="34" fillId="0" borderId="52" xfId="0" applyFont="1" applyBorder="1" applyAlignment="1">
      <alignment horizontal="justify"/>
    </xf>
    <xf numFmtId="0" fontId="34" fillId="0" borderId="53" xfId="0" applyFont="1" applyBorder="1" applyAlignment="1">
      <alignment horizontal="justify"/>
    </xf>
    <xf numFmtId="0" fontId="31" fillId="10" borderId="51" xfId="0" applyFont="1" applyFill="1" applyBorder="1" applyAlignment="1">
      <alignment horizontal="center"/>
    </xf>
    <xf numFmtId="1" fontId="20" fillId="0" borderId="0" xfId="3" applyNumberFormat="1" applyFont="1" applyBorder="1" applyAlignment="1">
      <alignment horizontal="center" vertical="center"/>
    </xf>
    <xf numFmtId="0" fontId="20" fillId="0" borderId="8" xfId="0" applyFont="1" applyBorder="1" applyAlignment="1">
      <alignment vertical="center"/>
    </xf>
    <xf numFmtId="0" fontId="20" fillId="0" borderId="9" xfId="0" applyFont="1" applyBorder="1" applyAlignment="1">
      <alignment vertical="center"/>
    </xf>
    <xf numFmtId="165" fontId="20" fillId="3" borderId="9" xfId="3" applyNumberFormat="1" applyFont="1" applyFill="1" applyBorder="1" applyAlignment="1">
      <alignment vertical="center"/>
    </xf>
    <xf numFmtId="165" fontId="20" fillId="0" borderId="10" xfId="3" applyFont="1" applyBorder="1" applyAlignment="1">
      <alignment vertical="center"/>
    </xf>
    <xf numFmtId="165" fontId="17" fillId="0" borderId="7" xfId="3" applyFont="1" applyBorder="1" applyAlignment="1">
      <alignment horizontal="right" vertical="center"/>
    </xf>
    <xf numFmtId="165" fontId="17" fillId="2" borderId="4" xfId="3" applyFont="1" applyFill="1" applyBorder="1" applyAlignment="1">
      <alignment horizontal="right" vertical="center"/>
    </xf>
    <xf numFmtId="168" fontId="17" fillId="0" borderId="1" xfId="0" applyNumberFormat="1" applyFont="1" applyBorder="1" applyAlignment="1">
      <alignment vertical="center"/>
    </xf>
    <xf numFmtId="168" fontId="0" fillId="0" borderId="1" xfId="0" applyNumberFormat="1" applyBorder="1" applyAlignment="1">
      <alignment vertical="center"/>
    </xf>
    <xf numFmtId="168" fontId="17" fillId="0" borderId="36" xfId="0" applyNumberFormat="1" applyFont="1" applyBorder="1" applyAlignment="1">
      <alignment vertical="center"/>
    </xf>
    <xf numFmtId="165" fontId="17" fillId="0" borderId="11" xfId="3" applyFont="1" applyBorder="1" applyAlignment="1">
      <alignment vertical="center"/>
    </xf>
    <xf numFmtId="165" fontId="17" fillId="0" borderId="5" xfId="3" applyFont="1" applyBorder="1" applyAlignment="1">
      <alignment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center" vertical="center"/>
    </xf>
    <xf numFmtId="0" fontId="37" fillId="0" borderId="23" xfId="0" applyFont="1" applyBorder="1" applyAlignment="1">
      <alignment horizontal="center" vertical="center"/>
    </xf>
    <xf numFmtId="0" fontId="37" fillId="7" borderId="1" xfId="0" applyFont="1" applyFill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165" fontId="17" fillId="0" borderId="9" xfId="3" applyFont="1" applyBorder="1" applyAlignment="1">
      <alignment horizontal="center" vertical="center"/>
    </xf>
    <xf numFmtId="0" fontId="27" fillId="2" borderId="17" xfId="0" applyFont="1" applyFill="1" applyBorder="1" applyAlignment="1">
      <alignment horizontal="center" vertical="center" wrapText="1"/>
    </xf>
    <xf numFmtId="167" fontId="20" fillId="0" borderId="1" xfId="3" applyNumberFormat="1" applyFont="1" applyBorder="1" applyAlignment="1">
      <alignment horizontal="center" vertical="center"/>
    </xf>
    <xf numFmtId="166" fontId="17" fillId="0" borderId="1" xfId="3" applyNumberFormat="1" applyFont="1" applyBorder="1" applyAlignment="1">
      <alignment horizontal="center" vertical="center"/>
    </xf>
    <xf numFmtId="167" fontId="17" fillId="0" borderId="1" xfId="3" applyNumberFormat="1" applyFont="1" applyBorder="1" applyAlignment="1">
      <alignment horizontal="center" vertical="center"/>
    </xf>
    <xf numFmtId="167" fontId="20" fillId="0" borderId="2" xfId="3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 wrapText="1"/>
    </xf>
    <xf numFmtId="0" fontId="20" fillId="0" borderId="2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5" fillId="0" borderId="0" xfId="0" applyFont="1"/>
    <xf numFmtId="0" fontId="17" fillId="0" borderId="54" xfId="0" applyFont="1" applyBorder="1" applyAlignment="1">
      <alignment vertical="center"/>
    </xf>
    <xf numFmtId="0" fontId="17" fillId="0" borderId="54" xfId="0" applyFont="1" applyBorder="1" applyAlignment="1">
      <alignment horizontal="center" vertical="center"/>
    </xf>
    <xf numFmtId="165" fontId="17" fillId="0" borderId="54" xfId="3" applyFont="1" applyBorder="1" applyAlignment="1">
      <alignment horizontal="center" vertical="center"/>
    </xf>
    <xf numFmtId="165" fontId="17" fillId="0" borderId="54" xfId="3" applyFont="1" applyFill="1" applyBorder="1" applyAlignment="1">
      <alignment horizontal="center" vertical="center"/>
    </xf>
    <xf numFmtId="4" fontId="15" fillId="0" borderId="0" xfId="0" applyNumberFormat="1" applyFont="1" applyBorder="1" applyAlignment="1">
      <alignment vertical="center"/>
    </xf>
    <xf numFmtId="0" fontId="15" fillId="0" borderId="0" xfId="0" applyFont="1" applyFill="1"/>
    <xf numFmtId="0" fontId="21" fillId="0" borderId="23" xfId="0" applyFont="1" applyBorder="1"/>
    <xf numFmtId="0" fontId="21" fillId="0" borderId="1" xfId="0" applyFont="1" applyBorder="1"/>
    <xf numFmtId="0" fontId="21" fillId="0" borderId="20" xfId="0" applyFont="1" applyBorder="1"/>
    <xf numFmtId="0" fontId="19" fillId="0" borderId="23" xfId="0" applyFont="1" applyFill="1" applyBorder="1"/>
    <xf numFmtId="0" fontId="19" fillId="0" borderId="1" xfId="0" applyFont="1" applyFill="1" applyBorder="1"/>
    <xf numFmtId="0" fontId="19" fillId="0" borderId="1" xfId="0" applyFont="1" applyBorder="1"/>
    <xf numFmtId="170" fontId="38" fillId="0" borderId="20" xfId="3" applyNumberFormat="1" applyFont="1" applyBorder="1" applyAlignment="1">
      <alignment horizontal="center" vertical="center" wrapText="1"/>
    </xf>
    <xf numFmtId="171" fontId="19" fillId="0" borderId="20" xfId="0" applyNumberFormat="1" applyFont="1" applyBorder="1"/>
    <xf numFmtId="2" fontId="19" fillId="0" borderId="20" xfId="0" applyNumberFormat="1" applyFont="1" applyBorder="1"/>
    <xf numFmtId="0" fontId="19" fillId="0" borderId="24" xfId="0" applyFont="1" applyFill="1" applyBorder="1"/>
    <xf numFmtId="0" fontId="19" fillId="0" borderId="36" xfId="0" applyFont="1" applyBorder="1"/>
    <xf numFmtId="171" fontId="19" fillId="3" borderId="20" xfId="0" applyNumberFormat="1" applyFont="1" applyFill="1" applyBorder="1"/>
    <xf numFmtId="171" fontId="19" fillId="0" borderId="37" xfId="0" applyNumberFormat="1" applyFont="1" applyBorder="1"/>
    <xf numFmtId="0" fontId="31" fillId="0" borderId="1" xfId="0" applyFont="1" applyFill="1" applyBorder="1" applyAlignment="1">
      <alignment horizontal="center"/>
    </xf>
    <xf numFmtId="0" fontId="31" fillId="0" borderId="23" xfId="0" applyFont="1" applyFill="1" applyBorder="1" applyAlignment="1">
      <alignment horizontal="center"/>
    </xf>
    <xf numFmtId="0" fontId="31" fillId="0" borderId="20" xfId="0" applyFont="1" applyFill="1" applyBorder="1" applyAlignment="1">
      <alignment horizontal="center"/>
    </xf>
    <xf numFmtId="172" fontId="19" fillId="3" borderId="20" xfId="0" applyNumberFormat="1" applyFont="1" applyFill="1" applyBorder="1"/>
    <xf numFmtId="0" fontId="19" fillId="0" borderId="23" xfId="0" applyFont="1" applyBorder="1" applyAlignment="1">
      <alignment horizontal="right"/>
    </xf>
    <xf numFmtId="0" fontId="18" fillId="0" borderId="0" xfId="0" applyFont="1" applyAlignment="1">
      <alignment vertical="center"/>
    </xf>
    <xf numFmtId="4" fontId="45" fillId="0" borderId="0" xfId="0" applyNumberFormat="1" applyFont="1" applyBorder="1" applyAlignment="1">
      <alignment vertical="center"/>
    </xf>
    <xf numFmtId="4" fontId="46" fillId="0" borderId="0" xfId="0" applyNumberFormat="1" applyFont="1" applyBorder="1" applyAlignment="1">
      <alignment vertical="center"/>
    </xf>
    <xf numFmtId="0" fontId="19" fillId="0" borderId="20" xfId="0" applyFont="1" applyFill="1" applyBorder="1"/>
    <xf numFmtId="0" fontId="44" fillId="0" borderId="0" xfId="0" applyFont="1"/>
    <xf numFmtId="0" fontId="15" fillId="0" borderId="2" xfId="0" applyFont="1" applyBorder="1" applyAlignment="1">
      <alignment vertical="center"/>
    </xf>
    <xf numFmtId="169" fontId="21" fillId="0" borderId="20" xfId="0" applyNumberFormat="1" applyFont="1" applyBorder="1"/>
    <xf numFmtId="9" fontId="32" fillId="0" borderId="20" xfId="2" applyFont="1" applyBorder="1"/>
    <xf numFmtId="10" fontId="32" fillId="0" borderId="20" xfId="2" applyNumberFormat="1" applyFont="1" applyBorder="1"/>
    <xf numFmtId="9" fontId="21" fillId="0" borderId="31" xfId="2" applyFont="1" applyBorder="1"/>
    <xf numFmtId="0" fontId="19" fillId="0" borderId="55" xfId="0" applyFont="1" applyBorder="1"/>
    <xf numFmtId="0" fontId="19" fillId="0" borderId="0" xfId="0" applyFont="1" applyFill="1" applyBorder="1"/>
    <xf numFmtId="171" fontId="19" fillId="0" borderId="0" xfId="0" applyNumberFormat="1" applyFont="1" applyBorder="1"/>
    <xf numFmtId="0" fontId="48" fillId="0" borderId="0" xfId="4" applyFont="1"/>
    <xf numFmtId="0" fontId="14" fillId="0" borderId="0" xfId="4"/>
    <xf numFmtId="0" fontId="14" fillId="0" borderId="1" xfId="4" applyFont="1" applyBorder="1"/>
    <xf numFmtId="0" fontId="48" fillId="0" borderId="1" xfId="4" applyFont="1" applyBorder="1" applyAlignment="1">
      <alignment horizontal="center"/>
    </xf>
    <xf numFmtId="0" fontId="14" fillId="0" borderId="1" xfId="4" applyBorder="1"/>
    <xf numFmtId="173" fontId="0" fillId="0" borderId="1" xfId="5" applyNumberFormat="1" applyFont="1" applyBorder="1" applyAlignment="1">
      <alignment horizontal="center"/>
    </xf>
    <xf numFmtId="43" fontId="14" fillId="0" borderId="0" xfId="4" applyNumberFormat="1"/>
    <xf numFmtId="43" fontId="0" fillId="0" borderId="0" xfId="5" applyFont="1"/>
    <xf numFmtId="165" fontId="14" fillId="0" borderId="0" xfId="3" applyFont="1"/>
    <xf numFmtId="165" fontId="15" fillId="3" borderId="2" xfId="3" applyFont="1" applyFill="1" applyBorder="1" applyAlignment="1">
      <alignment horizontal="center" vertical="center"/>
    </xf>
    <xf numFmtId="10" fontId="17" fillId="3" borderId="7" xfId="2" applyNumberFormat="1" applyFont="1" applyFill="1" applyBorder="1" applyAlignment="1">
      <alignment vertical="center"/>
    </xf>
    <xf numFmtId="176" fontId="20" fillId="0" borderId="1" xfId="3" applyNumberFormat="1" applyFont="1" applyBorder="1" applyAlignment="1">
      <alignment vertical="center"/>
    </xf>
    <xf numFmtId="0" fontId="48" fillId="0" borderId="0" xfId="25" applyFont="1"/>
    <xf numFmtId="0" fontId="13" fillId="0" borderId="0" xfId="25"/>
    <xf numFmtId="0" fontId="48" fillId="0" borderId="1" xfId="25" applyFont="1" applyBorder="1"/>
    <xf numFmtId="0" fontId="48" fillId="0" borderId="1" xfId="25" applyFont="1" applyBorder="1" applyAlignment="1">
      <alignment horizontal="center"/>
    </xf>
    <xf numFmtId="20" fontId="48" fillId="0" borderId="1" xfId="25" applyNumberFormat="1" applyFont="1" applyBorder="1"/>
    <xf numFmtId="0" fontId="13" fillId="0" borderId="8" xfId="25" applyBorder="1"/>
    <xf numFmtId="0" fontId="13" fillId="0" borderId="9" xfId="25" applyBorder="1"/>
    <xf numFmtId="0" fontId="13" fillId="0" borderId="1" xfId="25" applyBorder="1"/>
    <xf numFmtId="0" fontId="13" fillId="0" borderId="8" xfId="25" applyFont="1" applyBorder="1"/>
    <xf numFmtId="0" fontId="48" fillId="0" borderId="8" xfId="25" applyFont="1" applyBorder="1"/>
    <xf numFmtId="0" fontId="48" fillId="0" borderId="9" xfId="25" applyFont="1" applyBorder="1"/>
    <xf numFmtId="10" fontId="48" fillId="0" borderId="1" xfId="2" applyNumberFormat="1" applyFont="1" applyBorder="1"/>
    <xf numFmtId="165" fontId="13" fillId="0" borderId="0" xfId="3" applyFont="1"/>
    <xf numFmtId="165" fontId="0" fillId="3" borderId="1" xfId="3" applyFont="1" applyFill="1" applyBorder="1"/>
    <xf numFmtId="13" fontId="15" fillId="3" borderId="1" xfId="0" applyNumberFormat="1" applyFont="1" applyFill="1" applyBorder="1" applyAlignment="1">
      <alignment vertical="center"/>
    </xf>
    <xf numFmtId="13" fontId="15" fillId="0" borderId="1" xfId="0" applyNumberFormat="1" applyFont="1" applyFill="1" applyBorder="1" applyAlignment="1">
      <alignment vertical="center"/>
    </xf>
    <xf numFmtId="0" fontId="15" fillId="0" borderId="1" xfId="0" applyFont="1" applyBorder="1" applyAlignment="1">
      <alignment vertical="center"/>
    </xf>
    <xf numFmtId="165" fontId="13" fillId="0" borderId="1" xfId="3" applyFont="1" applyBorder="1"/>
    <xf numFmtId="13" fontId="20" fillId="3" borderId="1" xfId="0" applyNumberFormat="1" applyFont="1" applyFill="1" applyBorder="1" applyAlignment="1">
      <alignment vertical="center"/>
    </xf>
    <xf numFmtId="165" fontId="48" fillId="0" borderId="1" xfId="3" applyFont="1" applyBorder="1"/>
    <xf numFmtId="165" fontId="20" fillId="0" borderId="0" xfId="0" applyNumberFormat="1" applyFont="1" applyAlignment="1">
      <alignment vertical="center"/>
    </xf>
    <xf numFmtId="4" fontId="18" fillId="0" borderId="0" xfId="0" applyNumberFormat="1" applyFont="1" applyBorder="1" applyAlignment="1">
      <alignment vertical="center"/>
    </xf>
    <xf numFmtId="165" fontId="17" fillId="0" borderId="14" xfId="3" applyFont="1" applyBorder="1" applyAlignment="1">
      <alignment horizontal="left" vertical="center"/>
    </xf>
    <xf numFmtId="0" fontId="48" fillId="0" borderId="10" xfId="4" applyFont="1" applyBorder="1" applyAlignment="1">
      <alignment horizontal="center"/>
    </xf>
    <xf numFmtId="0" fontId="31" fillId="0" borderId="0" xfId="0" applyFont="1" applyAlignment="1">
      <alignment vertical="center"/>
    </xf>
    <xf numFmtId="0" fontId="49" fillId="0" borderId="0" xfId="4" applyFont="1"/>
    <xf numFmtId="166" fontId="15" fillId="0" borderId="0" xfId="3" applyNumberFormat="1" applyFont="1" applyBorder="1"/>
    <xf numFmtId="165" fontId="0" fillId="0" borderId="1" xfId="3" applyFont="1" applyBorder="1" applyAlignment="1">
      <alignment horizontal="center"/>
    </xf>
    <xf numFmtId="43" fontId="0" fillId="0" borderId="1" xfId="5" applyNumberFormat="1" applyFont="1" applyBorder="1" applyAlignment="1">
      <alignment horizontal="center"/>
    </xf>
    <xf numFmtId="43" fontId="0" fillId="0" borderId="1" xfId="5" applyNumberFormat="1" applyFont="1" applyBorder="1" applyAlignment="1"/>
    <xf numFmtId="4" fontId="20" fillId="3" borderId="1" xfId="0" applyNumberFormat="1" applyFont="1" applyFill="1" applyBorder="1" applyAlignment="1">
      <alignment vertical="center"/>
    </xf>
    <xf numFmtId="0" fontId="17" fillId="0" borderId="0" xfId="9" applyFont="1" applyAlignment="1">
      <alignment vertical="center"/>
    </xf>
    <xf numFmtId="0" fontId="15" fillId="0" borderId="0" xfId="9" applyFont="1" applyAlignment="1">
      <alignment vertical="center"/>
    </xf>
    <xf numFmtId="165" fontId="15" fillId="0" borderId="0" xfId="3" applyFont="1" applyAlignment="1">
      <alignment vertical="center"/>
    </xf>
    <xf numFmtId="4" fontId="15" fillId="0" borderId="0" xfId="9" applyNumberFormat="1" applyFont="1" applyBorder="1" applyAlignment="1">
      <alignment vertical="center"/>
    </xf>
    <xf numFmtId="4" fontId="15" fillId="0" borderId="0" xfId="9" applyNumberFormat="1" applyAlignment="1">
      <alignment vertical="center"/>
    </xf>
    <xf numFmtId="0" fontId="15" fillId="0" borderId="0" xfId="9" applyAlignment="1">
      <alignment vertical="center"/>
    </xf>
    <xf numFmtId="0" fontId="19" fillId="0" borderId="0" xfId="9" applyFont="1" applyAlignment="1">
      <alignment vertical="center"/>
    </xf>
    <xf numFmtId="0" fontId="15" fillId="0" borderId="38" xfId="9" applyFill="1" applyBorder="1" applyAlignment="1">
      <alignment vertical="center"/>
    </xf>
    <xf numFmtId="4" fontId="15" fillId="0" borderId="0" xfId="9" applyNumberFormat="1" applyFill="1" applyBorder="1" applyAlignment="1">
      <alignment vertical="center"/>
    </xf>
    <xf numFmtId="165" fontId="17" fillId="0" borderId="9" xfId="9" applyNumberFormat="1" applyFont="1" applyBorder="1" applyAlignment="1">
      <alignment vertical="center"/>
    </xf>
    <xf numFmtId="168" fontId="17" fillId="0" borderId="1" xfId="9" applyNumberFormat="1" applyFont="1" applyBorder="1" applyAlignment="1">
      <alignment vertical="center"/>
    </xf>
    <xf numFmtId="165" fontId="15" fillId="0" borderId="9" xfId="9" applyNumberFormat="1" applyBorder="1" applyAlignment="1">
      <alignment vertical="center"/>
    </xf>
    <xf numFmtId="168" fontId="15" fillId="0" borderId="1" xfId="9" applyNumberFormat="1" applyBorder="1" applyAlignment="1">
      <alignment vertical="center"/>
    </xf>
    <xf numFmtId="4" fontId="17" fillId="0" borderId="9" xfId="9" applyNumberFormat="1" applyFont="1" applyBorder="1" applyAlignment="1">
      <alignment horizontal="centerContinuous" vertical="center"/>
    </xf>
    <xf numFmtId="4" fontId="15" fillId="0" borderId="9" xfId="9" applyNumberFormat="1" applyBorder="1" applyAlignment="1">
      <alignment horizontal="centerContinuous" vertical="center"/>
    </xf>
    <xf numFmtId="10" fontId="15" fillId="0" borderId="15" xfId="2" applyNumberFormat="1" applyFont="1" applyBorder="1" applyAlignment="1">
      <alignment vertical="center"/>
    </xf>
    <xf numFmtId="168" fontId="17" fillId="0" borderId="36" xfId="9" applyNumberFormat="1" applyFont="1" applyBorder="1" applyAlignment="1">
      <alignment vertical="center"/>
    </xf>
    <xf numFmtId="4" fontId="17" fillId="0" borderId="6" xfId="9" applyNumberFormat="1" applyFont="1" applyBorder="1" applyAlignment="1">
      <alignment horizontal="centerContinuous" vertical="center"/>
    </xf>
    <xf numFmtId="164" fontId="17" fillId="0" borderId="34" xfId="9" applyNumberFormat="1" applyFont="1" applyBorder="1" applyAlignment="1">
      <alignment vertical="center"/>
    </xf>
    <xf numFmtId="165" fontId="15" fillId="0" borderId="19" xfId="3" applyFont="1" applyBorder="1" applyAlignment="1">
      <alignment vertical="center"/>
    </xf>
    <xf numFmtId="165" fontId="15" fillId="0" borderId="11" xfId="3" applyFont="1" applyBorder="1" applyAlignment="1">
      <alignment vertical="center"/>
    </xf>
    <xf numFmtId="0" fontId="15" fillId="0" borderId="11" xfId="9" applyBorder="1" applyAlignment="1">
      <alignment vertical="center"/>
    </xf>
    <xf numFmtId="1" fontId="15" fillId="0" borderId="12" xfId="3" applyNumberFormat="1" applyFont="1" applyBorder="1" applyAlignment="1">
      <alignment horizontal="center" vertical="center"/>
    </xf>
    <xf numFmtId="165" fontId="15" fillId="0" borderId="14" xfId="3" applyFont="1" applyBorder="1" applyAlignment="1">
      <alignment vertical="center"/>
    </xf>
    <xf numFmtId="165" fontId="15" fillId="0" borderId="9" xfId="3" applyFont="1" applyBorder="1" applyAlignment="1">
      <alignment vertical="center"/>
    </xf>
    <xf numFmtId="0" fontId="15" fillId="0" borderId="9" xfId="9" applyBorder="1" applyAlignment="1">
      <alignment vertical="center"/>
    </xf>
    <xf numFmtId="1" fontId="15" fillId="0" borderId="20" xfId="3" applyNumberFormat="1" applyFont="1" applyBorder="1" applyAlignment="1">
      <alignment horizontal="center" vertical="center"/>
    </xf>
    <xf numFmtId="4" fontId="17" fillId="0" borderId="29" xfId="9" applyNumberFormat="1" applyFont="1" applyBorder="1" applyAlignment="1">
      <alignment vertical="center"/>
    </xf>
    <xf numFmtId="0" fontId="15" fillId="0" borderId="29" xfId="9" applyBorder="1" applyAlignment="1">
      <alignment vertical="center"/>
    </xf>
    <xf numFmtId="4" fontId="17" fillId="0" borderId="0" xfId="9" applyNumberFormat="1" applyFont="1" applyBorder="1" applyAlignment="1">
      <alignment vertical="center"/>
    </xf>
    <xf numFmtId="165" fontId="15" fillId="0" borderId="0" xfId="3" applyFont="1" applyBorder="1" applyAlignment="1">
      <alignment vertical="center"/>
    </xf>
    <xf numFmtId="165" fontId="15" fillId="0" borderId="39" xfId="3" applyFont="1" applyBorder="1" applyAlignment="1">
      <alignment vertical="center"/>
    </xf>
    <xf numFmtId="165" fontId="15" fillId="0" borderId="40" xfId="3" applyFont="1" applyBorder="1" applyAlignment="1">
      <alignment vertical="center"/>
    </xf>
    <xf numFmtId="165" fontId="15" fillId="0" borderId="41" xfId="3" applyFont="1" applyBorder="1" applyAlignment="1">
      <alignment vertical="center"/>
    </xf>
    <xf numFmtId="0" fontId="15" fillId="0" borderId="41" xfId="9" applyFont="1" applyBorder="1" applyAlignment="1">
      <alignment vertical="center"/>
    </xf>
    <xf numFmtId="1" fontId="15" fillId="0" borderId="37" xfId="3" applyNumberFormat="1" applyFont="1" applyBorder="1" applyAlignment="1">
      <alignment horizontal="center" vertical="center"/>
    </xf>
    <xf numFmtId="0" fontId="15" fillId="0" borderId="0" xfId="9" applyFont="1" applyBorder="1" applyAlignment="1">
      <alignment vertical="center"/>
    </xf>
    <xf numFmtId="1" fontId="15" fillId="0" borderId="0" xfId="3" applyNumberFormat="1" applyFont="1" applyBorder="1" applyAlignment="1">
      <alignment horizontal="center" vertical="center"/>
    </xf>
    <xf numFmtId="166" fontId="15" fillId="0" borderId="0" xfId="3" applyNumberFormat="1" applyFont="1" applyBorder="1" applyAlignment="1">
      <alignment horizontal="center" vertical="center"/>
    </xf>
    <xf numFmtId="0" fontId="17" fillId="0" borderId="0" xfId="9" applyFont="1" applyBorder="1" applyAlignment="1">
      <alignment vertical="center"/>
    </xf>
    <xf numFmtId="167" fontId="17" fillId="0" borderId="0" xfId="3" applyNumberFormat="1" applyFont="1" applyBorder="1" applyAlignment="1">
      <alignment horizontal="center" vertical="center"/>
    </xf>
    <xf numFmtId="0" fontId="27" fillId="2" borderId="16" xfId="9" applyFont="1" applyFill="1" applyBorder="1" applyAlignment="1">
      <alignment horizontal="center" vertical="center"/>
    </xf>
    <xf numFmtId="0" fontId="27" fillId="2" borderId="17" xfId="9" applyFont="1" applyFill="1" applyBorder="1" applyAlignment="1">
      <alignment horizontal="center" vertical="center"/>
    </xf>
    <xf numFmtId="0" fontId="15" fillId="0" borderId="2" xfId="9" applyFont="1" applyBorder="1" applyAlignment="1">
      <alignment vertical="center"/>
    </xf>
    <xf numFmtId="0" fontId="15" fillId="0" borderId="2" xfId="9" applyFont="1" applyBorder="1" applyAlignment="1">
      <alignment horizontal="center" vertical="center"/>
    </xf>
    <xf numFmtId="165" fontId="15" fillId="0" borderId="2" xfId="3" applyFont="1" applyBorder="1" applyAlignment="1">
      <alignment horizontal="center" vertical="center"/>
    </xf>
    <xf numFmtId="0" fontId="15" fillId="0" borderId="1" xfId="9" applyFont="1" applyBorder="1" applyAlignment="1">
      <alignment vertical="center"/>
    </xf>
    <xf numFmtId="0" fontId="15" fillId="0" borderId="1" xfId="9" applyFont="1" applyBorder="1" applyAlignment="1">
      <alignment horizontal="center" vertical="center"/>
    </xf>
    <xf numFmtId="165" fontId="15" fillId="0" borderId="1" xfId="3" applyFont="1" applyFill="1" applyBorder="1" applyAlignment="1">
      <alignment horizontal="center" vertical="center"/>
    </xf>
    <xf numFmtId="165" fontId="15" fillId="0" borderId="1" xfId="3" applyFont="1" applyBorder="1" applyAlignment="1">
      <alignment horizontal="center" vertical="center"/>
    </xf>
    <xf numFmtId="0" fontId="17" fillId="0" borderId="3" xfId="9" applyFont="1" applyBorder="1" applyAlignment="1">
      <alignment vertical="center"/>
    </xf>
    <xf numFmtId="0" fontId="17" fillId="0" borderId="0" xfId="9" applyFont="1" applyAlignment="1">
      <alignment horizontal="center" vertical="center"/>
    </xf>
    <xf numFmtId="165" fontId="15" fillId="6" borderId="1" xfId="3" applyFont="1" applyFill="1" applyBorder="1" applyAlignment="1">
      <alignment horizontal="center" vertical="center"/>
    </xf>
    <xf numFmtId="0" fontId="15" fillId="3" borderId="1" xfId="9" applyFont="1" applyFill="1" applyBorder="1" applyAlignment="1">
      <alignment horizontal="center" vertical="center"/>
    </xf>
    <xf numFmtId="165" fontId="15" fillId="0" borderId="0" xfId="3" applyFont="1" applyAlignment="1">
      <alignment horizontal="right" vertical="center"/>
    </xf>
    <xf numFmtId="165" fontId="15" fillId="0" borderId="1" xfId="3" applyFont="1" applyBorder="1" applyAlignment="1">
      <alignment vertical="center"/>
    </xf>
    <xf numFmtId="2" fontId="15" fillId="3" borderId="1" xfId="9" applyNumberFormat="1" applyFont="1" applyFill="1" applyBorder="1" applyAlignment="1">
      <alignment horizontal="center" vertical="center"/>
    </xf>
    <xf numFmtId="2" fontId="15" fillId="0" borderId="1" xfId="3" applyNumberFormat="1" applyFont="1" applyBorder="1" applyAlignment="1">
      <alignment horizontal="center" vertical="center"/>
    </xf>
    <xf numFmtId="0" fontId="16" fillId="0" borderId="0" xfId="9" applyFont="1" applyAlignment="1">
      <alignment vertical="center"/>
    </xf>
    <xf numFmtId="0" fontId="17" fillId="0" borderId="1" xfId="9" applyFont="1" applyBorder="1" applyAlignment="1">
      <alignment vertical="center"/>
    </xf>
    <xf numFmtId="0" fontId="17" fillId="0" borderId="9" xfId="9" applyFont="1" applyBorder="1" applyAlignment="1">
      <alignment horizontal="center" vertical="center"/>
    </xf>
    <xf numFmtId="176" fontId="15" fillId="0" borderId="1" xfId="3" applyNumberFormat="1" applyFont="1" applyBorder="1" applyAlignment="1">
      <alignment vertical="center"/>
    </xf>
    <xf numFmtId="0" fontId="15" fillId="0" borderId="0" xfId="9" applyFont="1" applyAlignment="1">
      <alignment horizontal="right" vertical="center"/>
    </xf>
    <xf numFmtId="166" fontId="15" fillId="0" borderId="1" xfId="3" applyNumberFormat="1" applyFont="1" applyBorder="1" applyAlignment="1">
      <alignment horizontal="center" vertical="center"/>
    </xf>
    <xf numFmtId="165" fontId="15" fillId="3" borderId="0" xfId="3" applyFont="1" applyFill="1" applyAlignment="1">
      <alignment vertical="center"/>
    </xf>
    <xf numFmtId="0" fontId="15" fillId="3" borderId="0" xfId="9" applyFont="1" applyFill="1" applyAlignment="1">
      <alignment vertical="center"/>
    </xf>
    <xf numFmtId="166" fontId="15" fillId="0" borderId="1" xfId="3" applyNumberFormat="1" applyFont="1" applyBorder="1" applyAlignment="1">
      <alignment vertical="center"/>
    </xf>
    <xf numFmtId="166" fontId="15" fillId="0" borderId="1" xfId="3" applyNumberFormat="1" applyFont="1" applyFill="1" applyBorder="1" applyAlignment="1">
      <alignment vertical="center"/>
    </xf>
    <xf numFmtId="165" fontId="15" fillId="3" borderId="1" xfId="3" applyNumberFormat="1" applyFont="1" applyFill="1" applyBorder="1" applyAlignment="1">
      <alignment horizontal="center" vertical="center"/>
    </xf>
    <xf numFmtId="0" fontId="17" fillId="0" borderId="5" xfId="9" applyFont="1" applyBorder="1" applyAlignment="1">
      <alignment vertical="center"/>
    </xf>
    <xf numFmtId="0" fontId="17" fillId="0" borderId="6" xfId="9" applyFont="1" applyBorder="1" applyAlignment="1">
      <alignment vertical="center"/>
    </xf>
    <xf numFmtId="0" fontId="27" fillId="2" borderId="17" xfId="9" applyFont="1" applyFill="1" applyBorder="1" applyAlignment="1">
      <alignment horizontal="center" vertical="center" wrapText="1"/>
    </xf>
    <xf numFmtId="13" fontId="15" fillId="3" borderId="1" xfId="9" applyNumberFormat="1" applyFont="1" applyFill="1" applyBorder="1" applyAlignment="1">
      <alignment horizontal="center" vertical="center"/>
    </xf>
    <xf numFmtId="1" fontId="15" fillId="0" borderId="1" xfId="9" applyNumberFormat="1" applyFont="1" applyBorder="1" applyAlignment="1">
      <alignment horizontal="center" vertical="center"/>
    </xf>
    <xf numFmtId="0" fontId="15" fillId="0" borderId="6" xfId="9" applyFont="1" applyBorder="1" applyAlignment="1">
      <alignment vertical="center"/>
    </xf>
    <xf numFmtId="165" fontId="15" fillId="0" borderId="6" xfId="3" applyFont="1" applyBorder="1" applyAlignment="1">
      <alignment vertical="center"/>
    </xf>
    <xf numFmtId="165" fontId="15" fillId="0" borderId="7" xfId="3" applyFont="1" applyBorder="1" applyAlignment="1">
      <alignment vertical="center"/>
    </xf>
    <xf numFmtId="0" fontId="15" fillId="0" borderId="2" xfId="9" applyFont="1" applyFill="1" applyBorder="1" applyAlignment="1">
      <alignment horizontal="center" vertical="center"/>
    </xf>
    <xf numFmtId="165" fontId="15" fillId="0" borderId="0" xfId="3" applyFont="1" applyAlignment="1">
      <alignment horizontal="center" vertical="center"/>
    </xf>
    <xf numFmtId="43" fontId="15" fillId="0" borderId="0" xfId="9" applyNumberFormat="1" applyFont="1" applyAlignment="1">
      <alignment vertical="center"/>
    </xf>
    <xf numFmtId="0" fontId="17" fillId="0" borderId="54" xfId="9" applyFont="1" applyBorder="1" applyAlignment="1">
      <alignment vertical="center"/>
    </xf>
    <xf numFmtId="0" fontId="17" fillId="0" borderId="54" xfId="9" applyFont="1" applyBorder="1" applyAlignment="1">
      <alignment horizontal="center" vertical="center"/>
    </xf>
    <xf numFmtId="165" fontId="15" fillId="6" borderId="1" xfId="3" applyFont="1" applyFill="1" applyBorder="1" applyAlignment="1">
      <alignment vertical="center"/>
    </xf>
    <xf numFmtId="0" fontId="17" fillId="0" borderId="1" xfId="9" applyFont="1" applyBorder="1" applyAlignment="1">
      <alignment horizontal="center" vertical="center"/>
    </xf>
    <xf numFmtId="0" fontId="16" fillId="0" borderId="0" xfId="9" applyFont="1" applyBorder="1" applyAlignment="1">
      <alignment horizontal="left" vertical="center" wrapText="1"/>
    </xf>
    <xf numFmtId="0" fontId="27" fillId="2" borderId="32" xfId="9" applyFont="1" applyFill="1" applyBorder="1" applyAlignment="1">
      <alignment horizontal="center" vertical="center"/>
    </xf>
    <xf numFmtId="0" fontId="27" fillId="2" borderId="33" xfId="9" applyFont="1" applyFill="1" applyBorder="1" applyAlignment="1">
      <alignment horizontal="center" vertical="center"/>
    </xf>
    <xf numFmtId="165" fontId="15" fillId="0" borderId="1" xfId="9" applyNumberFormat="1" applyFont="1" applyFill="1" applyBorder="1" applyAlignment="1">
      <alignment horizontal="center" vertical="center"/>
    </xf>
    <xf numFmtId="0" fontId="15" fillId="0" borderId="1" xfId="9" applyFont="1" applyFill="1" applyBorder="1" applyAlignment="1">
      <alignment horizontal="center" vertical="center"/>
    </xf>
    <xf numFmtId="0" fontId="15" fillId="0" borderId="0" xfId="9" applyFont="1" applyAlignment="1">
      <alignment horizontal="center" vertical="center"/>
    </xf>
    <xf numFmtId="165" fontId="15" fillId="3" borderId="1" xfId="3" applyFont="1" applyFill="1" applyBorder="1" applyAlignment="1">
      <alignment horizontal="center" vertical="center"/>
    </xf>
    <xf numFmtId="3" fontId="15" fillId="0" borderId="0" xfId="9" applyNumberFormat="1" applyFont="1" applyAlignment="1">
      <alignment vertical="center"/>
    </xf>
    <xf numFmtId="3" fontId="15" fillId="3" borderId="1" xfId="9" applyNumberFormat="1" applyFont="1" applyFill="1" applyBorder="1" applyAlignment="1">
      <alignment vertical="center"/>
    </xf>
    <xf numFmtId="4" fontId="15" fillId="3" borderId="2" xfId="9" applyNumberFormat="1" applyFont="1" applyFill="1" applyBorder="1" applyAlignment="1">
      <alignment horizontal="center" vertical="center"/>
    </xf>
    <xf numFmtId="167" fontId="15" fillId="3" borderId="2" xfId="3" applyNumberFormat="1" applyFont="1" applyFill="1" applyBorder="1" applyAlignment="1">
      <alignment horizontal="center" vertical="center"/>
    </xf>
    <xf numFmtId="167" fontId="15" fillId="0" borderId="2" xfId="3" applyNumberFormat="1" applyFont="1" applyBorder="1" applyAlignment="1">
      <alignment horizontal="center" vertical="center"/>
    </xf>
    <xf numFmtId="4" fontId="15" fillId="3" borderId="1" xfId="9" applyNumberFormat="1" applyFont="1" applyFill="1" applyBorder="1" applyAlignment="1">
      <alignment horizontal="center" vertical="center"/>
    </xf>
    <xf numFmtId="165" fontId="15" fillId="0" borderId="0" xfId="3" applyFont="1" applyFill="1" applyAlignment="1">
      <alignment vertical="center"/>
    </xf>
    <xf numFmtId="0" fontId="15" fillId="0" borderId="0" xfId="9" applyFont="1" applyFill="1" applyAlignment="1">
      <alignment vertical="center"/>
    </xf>
    <xf numFmtId="167" fontId="15" fillId="0" borderId="1" xfId="3" applyNumberFormat="1" applyFont="1" applyBorder="1" applyAlignment="1">
      <alignment horizontal="center" vertical="center"/>
    </xf>
    <xf numFmtId="0" fontId="15" fillId="3" borderId="2" xfId="9" applyFont="1" applyFill="1" applyBorder="1" applyAlignment="1">
      <alignment horizontal="center" vertical="center"/>
    </xf>
    <xf numFmtId="165" fontId="15" fillId="0" borderId="2" xfId="3" applyFont="1" applyFill="1" applyBorder="1" applyAlignment="1">
      <alignment horizontal="center" vertical="center"/>
    </xf>
    <xf numFmtId="3" fontId="15" fillId="3" borderId="1" xfId="9" applyNumberFormat="1" applyFont="1" applyFill="1" applyBorder="1" applyAlignment="1">
      <alignment horizontal="center" vertical="center"/>
    </xf>
    <xf numFmtId="166" fontId="15" fillId="0" borderId="0" xfId="9" applyNumberFormat="1" applyFont="1" applyAlignment="1">
      <alignment vertical="center"/>
    </xf>
    <xf numFmtId="43" fontId="15" fillId="3" borderId="1" xfId="9" applyNumberFormat="1" applyFont="1" applyFill="1" applyBorder="1" applyAlignment="1">
      <alignment vertical="center"/>
    </xf>
    <xf numFmtId="165" fontId="15" fillId="0" borderId="0" xfId="3" applyFont="1" applyFill="1" applyBorder="1" applyAlignment="1">
      <alignment horizontal="center" vertical="center"/>
    </xf>
    <xf numFmtId="0" fontId="24" fillId="0" borderId="1" xfId="9" applyFont="1" applyBorder="1" applyAlignment="1">
      <alignment horizontal="center" vertical="center"/>
    </xf>
    <xf numFmtId="0" fontId="15" fillId="0" borderId="1" xfId="9" applyNumberFormat="1" applyFont="1" applyBorder="1" applyAlignment="1">
      <alignment horizontal="center" vertical="center"/>
    </xf>
    <xf numFmtId="0" fontId="16" fillId="0" borderId="0" xfId="9" applyFont="1" applyBorder="1" applyAlignment="1">
      <alignment vertical="center"/>
    </xf>
    <xf numFmtId="0" fontId="25" fillId="0" borderId="0" xfId="9" applyFont="1" applyAlignment="1">
      <alignment vertical="center"/>
    </xf>
    <xf numFmtId="0" fontId="48" fillId="0" borderId="1" xfId="8" applyFont="1" applyBorder="1"/>
    <xf numFmtId="0" fontId="17" fillId="0" borderId="25" xfId="9" applyFont="1" applyBorder="1" applyAlignment="1">
      <alignment vertical="center"/>
    </xf>
    <xf numFmtId="0" fontId="15" fillId="0" borderId="26" xfId="9" applyFont="1" applyBorder="1" applyAlignment="1">
      <alignment vertical="center"/>
    </xf>
    <xf numFmtId="165" fontId="15" fillId="0" borderId="26" xfId="3" applyFont="1" applyBorder="1" applyAlignment="1">
      <alignment vertical="center"/>
    </xf>
    <xf numFmtId="165" fontId="15" fillId="0" borderId="27" xfId="3" applyFont="1" applyBorder="1" applyAlignment="1">
      <alignment vertical="center"/>
    </xf>
    <xf numFmtId="165" fontId="17" fillId="2" borderId="51" xfId="3" applyFont="1" applyFill="1" applyBorder="1" applyAlignment="1">
      <alignment vertical="center"/>
    </xf>
    <xf numFmtId="0" fontId="18" fillId="0" borderId="8" xfId="9" applyFont="1" applyBorder="1" applyAlignment="1">
      <alignment vertical="center"/>
    </xf>
    <xf numFmtId="0" fontId="18" fillId="0" borderId="9" xfId="9" applyFont="1" applyBorder="1" applyAlignment="1">
      <alignment vertical="center"/>
    </xf>
    <xf numFmtId="43" fontId="18" fillId="0" borderId="9" xfId="9" applyNumberFormat="1" applyFont="1" applyFill="1" applyBorder="1" applyAlignment="1">
      <alignment vertical="center"/>
    </xf>
    <xf numFmtId="165" fontId="18" fillId="0" borderId="9" xfId="3" applyFont="1" applyFill="1" applyBorder="1" applyAlignment="1">
      <alignment vertical="center"/>
    </xf>
    <xf numFmtId="165" fontId="18" fillId="0" borderId="10" xfId="3" applyFont="1" applyBorder="1" applyAlignment="1">
      <alignment vertical="center"/>
    </xf>
    <xf numFmtId="0" fontId="1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65" fontId="0" fillId="0" borderId="1" xfId="3" applyFont="1" applyBorder="1"/>
    <xf numFmtId="0" fontId="17" fillId="0" borderId="1" xfId="0" applyFont="1" applyBorder="1"/>
    <xf numFmtId="165" fontId="17" fillId="0" borderId="1" xfId="0" applyNumberFormat="1" applyFont="1" applyBorder="1"/>
    <xf numFmtId="165" fontId="17" fillId="0" borderId="1" xfId="3" applyFont="1" applyBorder="1"/>
    <xf numFmtId="0" fontId="15" fillId="0" borderId="1" xfId="0" applyFont="1" applyBorder="1"/>
    <xf numFmtId="43" fontId="0" fillId="3" borderId="1" xfId="0" applyNumberFormat="1" applyFill="1" applyBorder="1"/>
    <xf numFmtId="0" fontId="15" fillId="3" borderId="1" xfId="0" applyFont="1" applyFill="1" applyBorder="1"/>
    <xf numFmtId="165" fontId="0" fillId="0" borderId="1" xfId="2" applyNumberFormat="1" applyFont="1" applyBorder="1"/>
    <xf numFmtId="0" fontId="9" fillId="0" borderId="1" xfId="4" applyFont="1" applyBorder="1" applyAlignment="1">
      <alignment horizontal="center"/>
    </xf>
    <xf numFmtId="0" fontId="9" fillId="0" borderId="8" xfId="4" applyFont="1" applyBorder="1" applyAlignment="1">
      <alignment horizontal="center"/>
    </xf>
    <xf numFmtId="166" fontId="14" fillId="0" borderId="10" xfId="4" applyNumberFormat="1" applyBorder="1" applyAlignment="1">
      <alignment horizontal="center"/>
    </xf>
    <xf numFmtId="165" fontId="0" fillId="0" borderId="10" xfId="3" applyFont="1" applyBorder="1" applyAlignment="1">
      <alignment horizontal="center"/>
    </xf>
    <xf numFmtId="0" fontId="14" fillId="0" borderId="0" xfId="4" applyBorder="1"/>
    <xf numFmtId="0" fontId="9" fillId="0" borderId="0" xfId="4" applyFont="1"/>
    <xf numFmtId="165" fontId="0" fillId="0" borderId="0" xfId="3" applyFont="1"/>
    <xf numFmtId="165" fontId="0" fillId="0" borderId="0" xfId="0" applyNumberFormat="1"/>
    <xf numFmtId="0" fontId="17" fillId="0" borderId="10" xfId="0" applyFont="1" applyBorder="1" applyAlignment="1">
      <alignment horizontal="center"/>
    </xf>
    <xf numFmtId="43" fontId="0" fillId="0" borderId="10" xfId="0" applyNumberFormat="1" applyBorder="1"/>
    <xf numFmtId="43" fontId="17" fillId="0" borderId="10" xfId="0" applyNumberFormat="1" applyFont="1" applyBorder="1"/>
    <xf numFmtId="0" fontId="0" fillId="0" borderId="10" xfId="0" applyBorder="1"/>
    <xf numFmtId="0" fontId="0" fillId="0" borderId="0" xfId="0" applyBorder="1"/>
    <xf numFmtId="165" fontId="0" fillId="0" borderId="0" xfId="3" applyFont="1" applyBorder="1"/>
    <xf numFmtId="43" fontId="0" fillId="0" borderId="0" xfId="0" applyNumberFormat="1" applyBorder="1"/>
    <xf numFmtId="165" fontId="17" fillId="0" borderId="0" xfId="0" applyNumberFormat="1" applyFont="1" applyBorder="1"/>
    <xf numFmtId="43" fontId="17" fillId="0" borderId="0" xfId="0" applyNumberFormat="1" applyFont="1" applyBorder="1"/>
    <xf numFmtId="0" fontId="15" fillId="0" borderId="0" xfId="0" applyFont="1" applyBorder="1"/>
    <xf numFmtId="0" fontId="48" fillId="0" borderId="1" xfId="8" applyFont="1" applyBorder="1" applyAlignment="1">
      <alignment horizontal="center"/>
    </xf>
    <xf numFmtId="20" fontId="48" fillId="0" borderId="1" xfId="8" applyNumberFormat="1" applyFont="1" applyBorder="1"/>
    <xf numFmtId="178" fontId="13" fillId="0" borderId="0" xfId="25" applyNumberFormat="1"/>
    <xf numFmtId="176" fontId="20" fillId="0" borderId="0" xfId="3" applyNumberFormat="1" applyFont="1" applyAlignment="1">
      <alignment vertical="center"/>
    </xf>
    <xf numFmtId="0" fontId="15" fillId="0" borderId="1" xfId="0" applyFont="1" applyBorder="1" applyAlignment="1">
      <alignment horizontal="center" vertical="center"/>
    </xf>
    <xf numFmtId="44" fontId="15" fillId="0" borderId="1" xfId="38" applyFont="1" applyBorder="1" applyAlignment="1">
      <alignment vertical="center"/>
    </xf>
    <xf numFmtId="10" fontId="0" fillId="0" borderId="1" xfId="2" applyNumberFormat="1" applyFont="1" applyBorder="1"/>
    <xf numFmtId="176" fontId="20" fillId="0" borderId="0" xfId="3" applyNumberFormat="1" applyFont="1" applyBorder="1" applyAlignment="1">
      <alignment vertical="center"/>
    </xf>
    <xf numFmtId="1" fontId="15" fillId="0" borderId="1" xfId="3" applyNumberFormat="1" applyFont="1" applyFill="1" applyBorder="1" applyAlignment="1">
      <alignment horizontal="center" vertical="center"/>
    </xf>
    <xf numFmtId="44" fontId="15" fillId="3" borderId="1" xfId="6" applyFont="1" applyFill="1" applyBorder="1" applyAlignment="1">
      <alignment horizontal="center" vertical="center"/>
    </xf>
    <xf numFmtId="44" fontId="15" fillId="3" borderId="1" xfId="6" applyFont="1" applyFill="1" applyBorder="1" applyAlignment="1">
      <alignment vertical="center"/>
    </xf>
    <xf numFmtId="0" fontId="16" fillId="0" borderId="56" xfId="0" applyFont="1" applyBorder="1" applyAlignment="1">
      <alignment vertical="center"/>
    </xf>
    <xf numFmtId="44" fontId="17" fillId="2" borderId="4" xfId="6" applyFont="1" applyFill="1" applyBorder="1" applyAlignment="1">
      <alignment vertical="center"/>
    </xf>
    <xf numFmtId="165" fontId="17" fillId="0" borderId="14" xfId="3" applyFont="1" applyBorder="1" applyAlignment="1">
      <alignment horizontal="left" vertical="center"/>
    </xf>
    <xf numFmtId="0" fontId="4" fillId="0" borderId="0" xfId="4" applyFont="1"/>
    <xf numFmtId="0" fontId="10" fillId="0" borderId="0" xfId="4" applyFont="1" applyBorder="1"/>
    <xf numFmtId="43" fontId="14" fillId="0" borderId="0" xfId="4" applyNumberFormat="1" applyBorder="1"/>
    <xf numFmtId="173" fontId="0" fillId="0" borderId="0" xfId="5" applyNumberFormat="1" applyFont="1" applyBorder="1" applyAlignment="1">
      <alignment horizontal="center"/>
    </xf>
    <xf numFmtId="165" fontId="0" fillId="0" borderId="0" xfId="3" applyFont="1" applyBorder="1" applyAlignment="1">
      <alignment horizontal="center"/>
    </xf>
    <xf numFmtId="43" fontId="0" fillId="0" borderId="0" xfId="5" applyNumberFormat="1" applyFont="1" applyBorder="1" applyAlignment="1">
      <alignment horizontal="center"/>
    </xf>
    <xf numFmtId="2" fontId="14" fillId="0" borderId="0" xfId="4" applyNumberFormat="1" applyBorder="1"/>
    <xf numFmtId="43" fontId="13" fillId="0" borderId="0" xfId="25" applyNumberFormat="1"/>
    <xf numFmtId="13" fontId="20" fillId="3" borderId="1" xfId="0" applyNumberFormat="1" applyFont="1" applyFill="1" applyBorder="1" applyAlignment="1">
      <alignment horizontal="right" vertical="center"/>
    </xf>
    <xf numFmtId="165" fontId="17" fillId="0" borderId="14" xfId="3" applyFont="1" applyBorder="1" applyAlignment="1">
      <alignment horizontal="left" vertical="center"/>
    </xf>
    <xf numFmtId="4" fontId="15" fillId="3" borderId="1" xfId="0" applyNumberFormat="1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vertical="center"/>
    </xf>
    <xf numFmtId="4" fontId="0" fillId="4" borderId="0" xfId="0" applyNumberFormat="1" applyFill="1" applyBorder="1" applyAlignment="1">
      <alignment vertical="center"/>
    </xf>
    <xf numFmtId="0" fontId="15" fillId="4" borderId="0" xfId="0" applyFont="1" applyFill="1" applyAlignment="1">
      <alignment vertical="center"/>
    </xf>
    <xf numFmtId="4" fontId="0" fillId="4" borderId="0" xfId="0" applyNumberFormat="1" applyFill="1" applyAlignment="1">
      <alignment vertical="center"/>
    </xf>
    <xf numFmtId="165" fontId="0" fillId="4" borderId="0" xfId="3" applyFont="1" applyFill="1" applyAlignment="1">
      <alignment vertical="center"/>
    </xf>
    <xf numFmtId="9" fontId="17" fillId="0" borderId="7" xfId="2" applyFont="1" applyFill="1" applyBorder="1" applyAlignment="1">
      <alignment vertical="center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165" fontId="17" fillId="0" borderId="0" xfId="3" applyFont="1" applyFill="1" applyAlignment="1">
      <alignment horizontal="center" vertical="center"/>
    </xf>
    <xf numFmtId="0" fontId="15" fillId="0" borderId="6" xfId="0" applyFont="1" applyBorder="1" applyAlignment="1">
      <alignment vertical="center"/>
    </xf>
    <xf numFmtId="0" fontId="17" fillId="0" borderId="54" xfId="0" applyFont="1" applyFill="1" applyBorder="1" applyAlignment="1">
      <alignment horizontal="center" vertical="center"/>
    </xf>
    <xf numFmtId="165" fontId="15" fillId="0" borderId="1" xfId="3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165" fontId="15" fillId="0" borderId="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3" fontId="15" fillId="0" borderId="0" xfId="0" applyNumberFormat="1" applyFont="1" applyAlignment="1">
      <alignment vertical="center"/>
    </xf>
    <xf numFmtId="3" fontId="15" fillId="3" borderId="1" xfId="0" applyNumberFormat="1" applyFont="1" applyFill="1" applyBorder="1" applyAlignment="1">
      <alignment vertical="center"/>
    </xf>
    <xf numFmtId="4" fontId="15" fillId="3" borderId="2" xfId="0" applyNumberFormat="1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vertical="center"/>
    </xf>
    <xf numFmtId="165" fontId="17" fillId="4" borderId="0" xfId="3" applyFont="1" applyFill="1" applyBorder="1" applyAlignment="1">
      <alignment vertical="center"/>
    </xf>
    <xf numFmtId="0" fontId="17" fillId="4" borderId="6" xfId="0" applyFont="1" applyFill="1" applyBorder="1" applyAlignment="1">
      <alignment vertical="center"/>
    </xf>
    <xf numFmtId="165" fontId="17" fillId="4" borderId="6" xfId="3" applyFont="1" applyFill="1" applyBorder="1" applyAlignment="1">
      <alignment vertical="center"/>
    </xf>
    <xf numFmtId="0" fontId="18" fillId="4" borderId="0" xfId="0" applyFont="1" applyFill="1" applyBorder="1" applyAlignment="1">
      <alignment vertical="center"/>
    </xf>
    <xf numFmtId="165" fontId="18" fillId="4" borderId="0" xfId="3" applyFont="1" applyFill="1" applyBorder="1" applyAlignment="1">
      <alignment vertical="center"/>
    </xf>
    <xf numFmtId="0" fontId="19" fillId="4" borderId="0" xfId="0" applyFont="1" applyFill="1" applyAlignment="1">
      <alignment vertical="center"/>
    </xf>
    <xf numFmtId="165" fontId="19" fillId="4" borderId="0" xfId="3" applyFont="1" applyFill="1" applyAlignment="1">
      <alignment vertical="center"/>
    </xf>
    <xf numFmtId="165" fontId="15" fillId="4" borderId="0" xfId="3" applyFont="1" applyFill="1" applyAlignment="1">
      <alignment vertical="center"/>
    </xf>
    <xf numFmtId="0" fontId="15" fillId="4" borderId="8" xfId="0" applyFont="1" applyFill="1" applyBorder="1" applyAlignment="1">
      <alignment vertical="center"/>
    </xf>
    <xf numFmtId="0" fontId="15" fillId="4" borderId="9" xfId="0" applyFont="1" applyFill="1" applyBorder="1" applyAlignment="1">
      <alignment vertical="center"/>
    </xf>
    <xf numFmtId="165" fontId="15" fillId="4" borderId="9" xfId="3" applyNumberFormat="1" applyFont="1" applyFill="1" applyBorder="1" applyAlignment="1">
      <alignment vertical="center"/>
    </xf>
    <xf numFmtId="165" fontId="15" fillId="4" borderId="10" xfId="3" applyFont="1" applyFill="1" applyBorder="1" applyAlignment="1">
      <alignment vertical="center"/>
    </xf>
    <xf numFmtId="0" fontId="17" fillId="4" borderId="5" xfId="0" applyFont="1" applyFill="1" applyBorder="1" applyAlignment="1">
      <alignment vertical="center"/>
    </xf>
    <xf numFmtId="165" fontId="17" fillId="4" borderId="7" xfId="3" applyFont="1" applyFill="1" applyBorder="1" applyAlignment="1">
      <alignment horizontal="right" vertical="center"/>
    </xf>
    <xf numFmtId="165" fontId="17" fillId="4" borderId="4" xfId="3" applyFont="1" applyFill="1" applyBorder="1" applyAlignment="1">
      <alignment horizontal="right" vertical="center"/>
    </xf>
    <xf numFmtId="0" fontId="51" fillId="4" borderId="0" xfId="0" applyFont="1" applyFill="1" applyAlignment="1">
      <alignment vertical="center"/>
    </xf>
    <xf numFmtId="0" fontId="50" fillId="4" borderId="0" xfId="0" applyFont="1" applyFill="1" applyAlignment="1">
      <alignment horizontal="center" vertical="center"/>
    </xf>
    <xf numFmtId="0" fontId="51" fillId="4" borderId="0" xfId="0" applyFont="1" applyFill="1" applyAlignment="1">
      <alignment horizontal="center" vertical="center"/>
    </xf>
    <xf numFmtId="165" fontId="15" fillId="4" borderId="0" xfId="3" applyFont="1" applyFill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2" fillId="0" borderId="0" xfId="46"/>
    <xf numFmtId="0" fontId="2" fillId="0" borderId="0" xfId="46" applyBorder="1" applyAlignment="1">
      <alignment wrapText="1"/>
    </xf>
    <xf numFmtId="0" fontId="2" fillId="0" borderId="0" xfId="46" applyBorder="1" applyAlignment="1"/>
    <xf numFmtId="0" fontId="2" fillId="0" borderId="0" xfId="46" applyBorder="1"/>
    <xf numFmtId="0" fontId="2" fillId="0" borderId="0" xfId="46" applyBorder="1" applyAlignment="1">
      <alignment horizontal="center"/>
    </xf>
    <xf numFmtId="2" fontId="2" fillId="0" borderId="0" xfId="46" applyNumberFormat="1" applyBorder="1" applyAlignment="1">
      <alignment horizontal="center"/>
    </xf>
    <xf numFmtId="0" fontId="2" fillId="0" borderId="0" xfId="46" applyBorder="1" applyAlignment="1">
      <alignment vertical="center" wrapText="1"/>
    </xf>
    <xf numFmtId="0" fontId="2" fillId="0" borderId="0" xfId="46" applyAlignment="1">
      <alignment horizontal="center"/>
    </xf>
    <xf numFmtId="0" fontId="2" fillId="0" borderId="23" xfId="46" applyBorder="1" applyAlignment="1">
      <alignment horizontal="center"/>
    </xf>
    <xf numFmtId="0" fontId="2" fillId="0" borderId="1" xfId="46" applyBorder="1" applyAlignment="1">
      <alignment horizontal="center"/>
    </xf>
    <xf numFmtId="0" fontId="2" fillId="0" borderId="20" xfId="46" applyBorder="1" applyAlignment="1">
      <alignment horizontal="center"/>
    </xf>
    <xf numFmtId="4" fontId="0" fillId="0" borderId="1" xfId="47" applyNumberFormat="1" applyFont="1" applyFill="1" applyBorder="1" applyAlignment="1">
      <alignment horizontal="right"/>
    </xf>
    <xf numFmtId="0" fontId="2" fillId="0" borderId="20" xfId="46" applyFill="1" applyBorder="1"/>
    <xf numFmtId="49" fontId="2" fillId="0" borderId="1" xfId="46" applyNumberFormat="1" applyBorder="1" applyAlignment="1">
      <alignment horizontal="center"/>
    </xf>
    <xf numFmtId="4" fontId="0" fillId="0" borderId="1" xfId="47" applyNumberFormat="1" applyFont="1" applyBorder="1" applyAlignment="1">
      <alignment horizontal="right"/>
    </xf>
    <xf numFmtId="0" fontId="2" fillId="0" borderId="20" xfId="46" applyBorder="1"/>
    <xf numFmtId="2" fontId="2" fillId="0" borderId="1" xfId="46" applyNumberFormat="1" applyBorder="1"/>
    <xf numFmtId="2" fontId="2" fillId="0" borderId="23" xfId="46" applyNumberFormat="1" applyBorder="1" applyAlignment="1">
      <alignment horizontal="center"/>
    </xf>
    <xf numFmtId="0" fontId="2" fillId="0" borderId="1" xfId="46" applyBorder="1" applyAlignment="1">
      <alignment horizontal="center" vertical="center"/>
    </xf>
    <xf numFmtId="1" fontId="2" fillId="0" borderId="1" xfId="46" applyNumberFormat="1" applyBorder="1" applyAlignment="1">
      <alignment horizontal="right" vertical="center"/>
    </xf>
    <xf numFmtId="0" fontId="2" fillId="0" borderId="1" xfId="46" applyBorder="1" applyAlignment="1">
      <alignment horizontal="left" vertical="center"/>
    </xf>
    <xf numFmtId="2" fontId="2" fillId="0" borderId="20" xfId="46" applyNumberFormat="1" applyBorder="1"/>
    <xf numFmtId="0" fontId="2" fillId="0" borderId="0" xfId="46" applyBorder="1" applyAlignment="1">
      <alignment horizontal="left"/>
    </xf>
    <xf numFmtId="2" fontId="2" fillId="0" borderId="0" xfId="46" applyNumberFormat="1" applyBorder="1"/>
    <xf numFmtId="177" fontId="0" fillId="0" borderId="1" xfId="47" applyNumberFormat="1" applyFont="1" applyBorder="1" applyAlignment="1">
      <alignment horizontal="right"/>
    </xf>
    <xf numFmtId="2" fontId="2" fillId="0" borderId="1" xfId="46" applyNumberFormat="1" applyBorder="1" applyAlignment="1"/>
    <xf numFmtId="2" fontId="2" fillId="0" borderId="9" xfId="46" applyNumberFormat="1" applyBorder="1" applyAlignment="1"/>
    <xf numFmtId="2" fontId="2" fillId="0" borderId="0" xfId="46" applyNumberFormat="1" applyBorder="1" applyAlignment="1"/>
    <xf numFmtId="2" fontId="48" fillId="0" borderId="1" xfId="47" applyNumberFormat="1" applyFont="1" applyBorder="1"/>
    <xf numFmtId="0" fontId="48" fillId="0" borderId="20" xfId="46" applyFont="1" applyFill="1" applyBorder="1"/>
    <xf numFmtId="2" fontId="48" fillId="0" borderId="1" xfId="46" applyNumberFormat="1" applyFont="1" applyBorder="1"/>
    <xf numFmtId="2" fontId="48" fillId="0" borderId="20" xfId="46" applyNumberFormat="1" applyFont="1" applyBorder="1"/>
    <xf numFmtId="177" fontId="48" fillId="0" borderId="0" xfId="46" applyNumberFormat="1" applyFont="1" applyBorder="1" applyAlignment="1">
      <alignment horizontal="center"/>
    </xf>
    <xf numFmtId="4" fontId="48" fillId="0" borderId="36" xfId="46" applyNumberFormat="1" applyFont="1" applyBorder="1" applyAlignment="1"/>
    <xf numFmtId="2" fontId="48" fillId="0" borderId="37" xfId="46" applyNumberFormat="1" applyFont="1" applyBorder="1"/>
    <xf numFmtId="0" fontId="48" fillId="0" borderId="0" xfId="46" applyFont="1" applyBorder="1" applyAlignment="1">
      <alignment horizontal="right"/>
    </xf>
    <xf numFmtId="2" fontId="48" fillId="0" borderId="0" xfId="46" applyNumberFormat="1" applyFont="1" applyBorder="1"/>
    <xf numFmtId="2" fontId="2" fillId="0" borderId="0" xfId="46" applyNumberFormat="1" applyBorder="1" applyAlignment="1">
      <alignment horizontal="right"/>
    </xf>
    <xf numFmtId="2" fontId="48" fillId="0" borderId="0" xfId="46" applyNumberFormat="1" applyFont="1" applyBorder="1" applyAlignment="1">
      <alignment horizontal="right"/>
    </xf>
    <xf numFmtId="2" fontId="48" fillId="0" borderId="36" xfId="47" applyNumberFormat="1" applyFont="1" applyBorder="1"/>
    <xf numFmtId="0" fontId="48" fillId="0" borderId="37" xfId="46" applyFont="1" applyBorder="1"/>
    <xf numFmtId="178" fontId="2" fillId="0" borderId="1" xfId="46" applyNumberFormat="1" applyBorder="1" applyAlignment="1">
      <alignment horizontal="right" vertical="center"/>
    </xf>
    <xf numFmtId="4" fontId="0" fillId="0" borderId="0" xfId="47" applyNumberFormat="1" applyFont="1" applyFill="1" applyBorder="1" applyAlignment="1">
      <alignment horizontal="right"/>
    </xf>
    <xf numFmtId="179" fontId="17" fillId="0" borderId="0" xfId="3" applyNumberFormat="1" applyFont="1" applyAlignment="1">
      <alignment vertical="center"/>
    </xf>
    <xf numFmtId="0" fontId="1" fillId="0" borderId="1" xfId="46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165" fontId="17" fillId="0" borderId="14" xfId="3" applyFont="1" applyBorder="1" applyAlignment="1">
      <alignment horizontal="left" vertical="center"/>
    </xf>
    <xf numFmtId="165" fontId="17" fillId="0" borderId="9" xfId="3" applyFont="1" applyBorder="1" applyAlignment="1">
      <alignment horizontal="left" vertical="center"/>
    </xf>
    <xf numFmtId="0" fontId="31" fillId="8" borderId="25" xfId="0" applyFont="1" applyFill="1" applyBorder="1" applyAlignment="1">
      <alignment horizontal="center" vertical="center"/>
    </xf>
    <xf numFmtId="0" fontId="31" fillId="8" borderId="26" xfId="0" applyFont="1" applyFill="1" applyBorder="1" applyAlignment="1">
      <alignment horizontal="center" vertical="center"/>
    </xf>
    <xf numFmtId="0" fontId="31" fillId="8" borderId="27" xfId="0" applyFont="1" applyFill="1" applyBorder="1" applyAlignment="1">
      <alignment horizontal="center" vertical="center"/>
    </xf>
    <xf numFmtId="0" fontId="21" fillId="8" borderId="44" xfId="0" applyFont="1" applyFill="1" applyBorder="1" applyAlignment="1">
      <alignment horizontal="center" vertical="center"/>
    </xf>
    <xf numFmtId="0" fontId="21" fillId="8" borderId="42" xfId="0" applyFont="1" applyFill="1" applyBorder="1" applyAlignment="1">
      <alignment horizontal="center" vertical="center"/>
    </xf>
    <xf numFmtId="0" fontId="21" fillId="8" borderId="45" xfId="0" applyFont="1" applyFill="1" applyBorder="1" applyAlignment="1">
      <alignment horizontal="center" vertical="center"/>
    </xf>
    <xf numFmtId="165" fontId="17" fillId="0" borderId="5" xfId="3" applyFont="1" applyBorder="1" applyAlignment="1">
      <alignment horizontal="center" vertical="center"/>
    </xf>
    <xf numFmtId="165" fontId="17" fillId="0" borderId="6" xfId="3" applyFont="1" applyBorder="1" applyAlignment="1">
      <alignment horizontal="center" vertical="center"/>
    </xf>
    <xf numFmtId="165" fontId="17" fillId="0" borderId="43" xfId="3" applyFont="1" applyBorder="1" applyAlignment="1">
      <alignment horizontal="center" vertical="center"/>
    </xf>
    <xf numFmtId="165" fontId="18" fillId="8" borderId="5" xfId="3" applyFont="1" applyFill="1" applyBorder="1" applyAlignment="1">
      <alignment horizontal="center" vertical="center"/>
    </xf>
    <xf numFmtId="165" fontId="18" fillId="8" borderId="6" xfId="3" applyFont="1" applyFill="1" applyBorder="1" applyAlignment="1">
      <alignment horizontal="center" vertical="center"/>
    </xf>
    <xf numFmtId="165" fontId="18" fillId="8" borderId="7" xfId="3" applyFont="1" applyFill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58" xfId="0" applyFont="1" applyBorder="1" applyAlignment="1">
      <alignment horizontal="center" vertical="center"/>
    </xf>
    <xf numFmtId="165" fontId="52" fillId="4" borderId="0" xfId="3" applyFont="1" applyFill="1" applyAlignment="1">
      <alignment horizontal="center" vertical="center"/>
    </xf>
    <xf numFmtId="165" fontId="53" fillId="4" borderId="0" xfId="3" applyFont="1" applyFill="1" applyAlignment="1">
      <alignment horizontal="center" vertical="center"/>
    </xf>
    <xf numFmtId="0" fontId="53" fillId="4" borderId="0" xfId="0" applyFont="1" applyFill="1" applyAlignment="1">
      <alignment horizontal="center" vertical="center"/>
    </xf>
    <xf numFmtId="0" fontId="17" fillId="0" borderId="32" xfId="9" applyFont="1" applyBorder="1" applyAlignment="1">
      <alignment horizontal="center" vertical="center"/>
    </xf>
    <xf numFmtId="0" fontId="17" fillId="0" borderId="33" xfId="9" applyFont="1" applyBorder="1" applyAlignment="1">
      <alignment horizontal="center" vertical="center"/>
    </xf>
    <xf numFmtId="0" fontId="31" fillId="8" borderId="25" xfId="9" applyFont="1" applyFill="1" applyBorder="1" applyAlignment="1">
      <alignment horizontal="center" vertical="center"/>
    </xf>
    <xf numFmtId="0" fontId="31" fillId="8" borderId="26" xfId="9" applyFont="1" applyFill="1" applyBorder="1" applyAlignment="1">
      <alignment horizontal="center" vertical="center"/>
    </xf>
    <xf numFmtId="0" fontId="31" fillId="8" borderId="27" xfId="9" applyFont="1" applyFill="1" applyBorder="1" applyAlignment="1">
      <alignment horizontal="center" vertical="center"/>
    </xf>
    <xf numFmtId="0" fontId="21" fillId="8" borderId="44" xfId="9" applyFont="1" applyFill="1" applyBorder="1" applyAlignment="1">
      <alignment horizontal="center" vertical="center"/>
    </xf>
    <xf numFmtId="0" fontId="21" fillId="8" borderId="42" xfId="9" applyFont="1" applyFill="1" applyBorder="1" applyAlignment="1">
      <alignment horizontal="center" vertical="center"/>
    </xf>
    <xf numFmtId="0" fontId="21" fillId="8" borderId="45" xfId="9" applyFont="1" applyFill="1" applyBorder="1" applyAlignment="1">
      <alignment horizontal="center" vertical="center"/>
    </xf>
    <xf numFmtId="0" fontId="31" fillId="8" borderId="21" xfId="0" applyFont="1" applyFill="1" applyBorder="1" applyAlignment="1">
      <alignment horizontal="center" vertical="center"/>
    </xf>
    <xf numFmtId="0" fontId="31" fillId="8" borderId="22" xfId="0" applyFont="1" applyFill="1" applyBorder="1" applyAlignment="1">
      <alignment horizontal="center" vertical="center"/>
    </xf>
    <xf numFmtId="0" fontId="31" fillId="8" borderId="12" xfId="0" applyFont="1" applyFill="1" applyBorder="1" applyAlignment="1">
      <alignment horizontal="center" vertical="center"/>
    </xf>
    <xf numFmtId="0" fontId="31" fillId="10" borderId="19" xfId="0" applyFont="1" applyFill="1" applyBorder="1" applyAlignment="1">
      <alignment horizontal="center"/>
    </xf>
    <xf numFmtId="0" fontId="31" fillId="10" borderId="46" xfId="0" applyFont="1" applyFill="1" applyBorder="1" applyAlignment="1">
      <alignment horizontal="center"/>
    </xf>
    <xf numFmtId="0" fontId="20" fillId="0" borderId="0" xfId="0" applyFont="1" applyAlignment="1">
      <alignment horizontal="left" wrapText="1"/>
    </xf>
    <xf numFmtId="0" fontId="15" fillId="0" borderId="0" xfId="0" applyFont="1" applyAlignment="1">
      <alignment horizontal="left" wrapText="1"/>
    </xf>
    <xf numFmtId="0" fontId="19" fillId="0" borderId="1" xfId="0" applyFont="1" applyFill="1" applyBorder="1" applyAlignment="1">
      <alignment horizontal="center" vertical="center"/>
    </xf>
    <xf numFmtId="0" fontId="19" fillId="0" borderId="36" xfId="0" applyFont="1" applyFill="1" applyBorder="1" applyAlignment="1">
      <alignment horizontal="center" vertical="center"/>
    </xf>
    <xf numFmtId="9" fontId="21" fillId="0" borderId="21" xfId="2" applyFont="1" applyBorder="1" applyAlignment="1">
      <alignment horizontal="center"/>
    </xf>
    <xf numFmtId="9" fontId="21" fillId="0" borderId="22" xfId="2" applyFont="1" applyBorder="1" applyAlignment="1">
      <alignment horizontal="center"/>
    </xf>
    <xf numFmtId="9" fontId="21" fillId="0" borderId="12" xfId="2" applyFont="1" applyBorder="1" applyAlignment="1">
      <alignment horizontal="center"/>
    </xf>
    <xf numFmtId="0" fontId="18" fillId="10" borderId="25" xfId="0" applyFont="1" applyFill="1" applyBorder="1" applyAlignment="1">
      <alignment horizontal="center" vertical="center"/>
    </xf>
    <xf numFmtId="0" fontId="18" fillId="10" borderId="26" xfId="0" applyFont="1" applyFill="1" applyBorder="1" applyAlignment="1">
      <alignment horizontal="center" vertical="center"/>
    </xf>
    <xf numFmtId="0" fontId="18" fillId="10" borderId="27" xfId="0" applyFont="1" applyFill="1" applyBorder="1" applyAlignment="1">
      <alignment horizontal="center" vertical="center"/>
    </xf>
    <xf numFmtId="0" fontId="48" fillId="0" borderId="8" xfId="4" applyFont="1" applyBorder="1" applyAlignment="1">
      <alignment horizontal="center"/>
    </xf>
    <xf numFmtId="0" fontId="48" fillId="0" borderId="9" xfId="4" applyFont="1" applyBorder="1" applyAlignment="1">
      <alignment horizontal="center"/>
    </xf>
    <xf numFmtId="0" fontId="48" fillId="0" borderId="10" xfId="4" applyFont="1" applyBorder="1" applyAlignment="1">
      <alignment horizontal="center"/>
    </xf>
    <xf numFmtId="0" fontId="48" fillId="0" borderId="5" xfId="46" applyFont="1" applyBorder="1" applyAlignment="1">
      <alignment horizontal="center"/>
    </xf>
    <xf numFmtId="0" fontId="48" fillId="0" borderId="6" xfId="46" applyFont="1" applyBorder="1" applyAlignment="1">
      <alignment horizontal="center"/>
    </xf>
    <xf numFmtId="0" fontId="48" fillId="0" borderId="7" xfId="46" applyFont="1" applyBorder="1" applyAlignment="1">
      <alignment horizontal="center"/>
    </xf>
    <xf numFmtId="0" fontId="48" fillId="0" borderId="5" xfId="46" applyFont="1" applyBorder="1" applyAlignment="1">
      <alignment horizontal="center" wrapText="1"/>
    </xf>
    <xf numFmtId="0" fontId="48" fillId="0" borderId="6" xfId="46" applyFont="1" applyBorder="1" applyAlignment="1">
      <alignment horizontal="center" wrapText="1"/>
    </xf>
    <xf numFmtId="0" fontId="48" fillId="0" borderId="7" xfId="46" applyFont="1" applyBorder="1" applyAlignment="1">
      <alignment horizontal="center" wrapText="1"/>
    </xf>
    <xf numFmtId="0" fontId="2" fillId="0" borderId="5" xfId="46" applyBorder="1" applyAlignment="1">
      <alignment horizontal="center"/>
    </xf>
    <xf numFmtId="0" fontId="2" fillId="0" borderId="6" xfId="46" applyBorder="1" applyAlignment="1">
      <alignment horizontal="center"/>
    </xf>
    <xf numFmtId="0" fontId="2" fillId="0" borderId="7" xfId="46" applyBorder="1" applyAlignment="1">
      <alignment horizontal="center"/>
    </xf>
    <xf numFmtId="0" fontId="2" fillId="0" borderId="5" xfId="46" applyBorder="1" applyAlignment="1">
      <alignment horizontal="center" wrapText="1"/>
    </xf>
    <xf numFmtId="0" fontId="2" fillId="0" borderId="6" xfId="46" applyBorder="1" applyAlignment="1">
      <alignment horizontal="center" wrapText="1"/>
    </xf>
    <xf numFmtId="0" fontId="2" fillId="0" borderId="7" xfId="46" applyBorder="1" applyAlignment="1">
      <alignment horizontal="center" wrapText="1"/>
    </xf>
    <xf numFmtId="0" fontId="48" fillId="0" borderId="16" xfId="46" applyFont="1" applyBorder="1" applyAlignment="1">
      <alignment horizontal="center"/>
    </xf>
    <xf numFmtId="0" fontId="48" fillId="0" borderId="17" xfId="46" applyFont="1" applyBorder="1" applyAlignment="1">
      <alignment horizontal="center"/>
    </xf>
    <xf numFmtId="0" fontId="48" fillId="0" borderId="18" xfId="46" applyFont="1" applyBorder="1" applyAlignment="1">
      <alignment horizontal="center"/>
    </xf>
    <xf numFmtId="0" fontId="48" fillId="0" borderId="5" xfId="46" applyFont="1" applyBorder="1" applyAlignment="1">
      <alignment horizontal="center" vertical="center" wrapText="1"/>
    </xf>
    <xf numFmtId="0" fontId="48" fillId="0" borderId="6" xfId="46" applyFont="1" applyBorder="1" applyAlignment="1">
      <alignment horizontal="center" vertical="center" wrapText="1"/>
    </xf>
    <xf numFmtId="0" fontId="48" fillId="0" borderId="7" xfId="46" applyFont="1" applyBorder="1" applyAlignment="1">
      <alignment horizontal="center" vertical="center" wrapText="1"/>
    </xf>
    <xf numFmtId="0" fontId="2" fillId="0" borderId="21" xfId="46" applyBorder="1" applyAlignment="1">
      <alignment horizontal="center"/>
    </xf>
    <xf numFmtId="0" fontId="2" fillId="0" borderId="22" xfId="46" applyBorder="1" applyAlignment="1">
      <alignment horizontal="center"/>
    </xf>
    <xf numFmtId="0" fontId="2" fillId="0" borderId="12" xfId="46" applyBorder="1" applyAlignment="1">
      <alignment horizontal="center"/>
    </xf>
    <xf numFmtId="0" fontId="48" fillId="0" borderId="19" xfId="46" applyFont="1" applyBorder="1" applyAlignment="1">
      <alignment horizontal="center"/>
    </xf>
    <xf numFmtId="0" fontId="48" fillId="0" borderId="11" xfId="46" applyFont="1" applyBorder="1" applyAlignment="1">
      <alignment horizontal="center"/>
    </xf>
    <xf numFmtId="0" fontId="48" fillId="0" borderId="46" xfId="46" applyFont="1" applyBorder="1" applyAlignment="1">
      <alignment horizontal="center"/>
    </xf>
    <xf numFmtId="2" fontId="2" fillId="0" borderId="21" xfId="46" applyNumberFormat="1" applyBorder="1" applyAlignment="1">
      <alignment horizontal="center" vertical="center"/>
    </xf>
    <xf numFmtId="2" fontId="2" fillId="0" borderId="23" xfId="46" applyNumberFormat="1" applyBorder="1" applyAlignment="1">
      <alignment horizontal="center" vertical="center"/>
    </xf>
    <xf numFmtId="0" fontId="2" fillId="0" borderId="22" xfId="46" applyBorder="1" applyAlignment="1">
      <alignment horizontal="center" vertical="center" wrapText="1"/>
    </xf>
    <xf numFmtId="0" fontId="2" fillId="0" borderId="1" xfId="46" applyBorder="1" applyAlignment="1">
      <alignment horizontal="center" vertical="center" wrapText="1"/>
    </xf>
    <xf numFmtId="0" fontId="2" fillId="0" borderId="12" xfId="46" applyBorder="1" applyAlignment="1">
      <alignment horizontal="center" vertical="center" wrapText="1"/>
    </xf>
    <xf numFmtId="0" fontId="2" fillId="0" borderId="20" xfId="46" applyBorder="1" applyAlignment="1">
      <alignment horizontal="center" vertical="center" wrapText="1"/>
    </xf>
    <xf numFmtId="0" fontId="2" fillId="0" borderId="40" xfId="46" applyBorder="1" applyAlignment="1">
      <alignment horizontal="center"/>
    </xf>
    <xf numFmtId="0" fontId="2" fillId="0" borderId="41" xfId="46" applyBorder="1" applyAlignment="1">
      <alignment horizontal="center"/>
    </xf>
    <xf numFmtId="0" fontId="2" fillId="0" borderId="57" xfId="46" applyBorder="1" applyAlignment="1">
      <alignment horizontal="center"/>
    </xf>
    <xf numFmtId="2" fontId="2" fillId="0" borderId="14" xfId="46" applyNumberFormat="1" applyBorder="1" applyAlignment="1">
      <alignment horizontal="center"/>
    </xf>
    <xf numFmtId="2" fontId="2" fillId="0" borderId="9" xfId="46" applyNumberFormat="1" applyBorder="1" applyAlignment="1">
      <alignment horizontal="center"/>
    </xf>
    <xf numFmtId="2" fontId="2" fillId="0" borderId="15" xfId="46" applyNumberFormat="1" applyBorder="1" applyAlignment="1">
      <alignment horizontal="center"/>
    </xf>
    <xf numFmtId="0" fontId="2" fillId="0" borderId="23" xfId="46" applyBorder="1" applyAlignment="1">
      <alignment horizontal="center" vertical="center" wrapText="1"/>
    </xf>
    <xf numFmtId="0" fontId="2" fillId="0" borderId="14" xfId="46" applyBorder="1" applyAlignment="1">
      <alignment horizontal="center"/>
    </xf>
    <xf numFmtId="0" fontId="2" fillId="0" borderId="9" xfId="46" applyBorder="1" applyAlignment="1">
      <alignment horizontal="center"/>
    </xf>
    <xf numFmtId="0" fontId="2" fillId="0" borderId="10" xfId="46" applyBorder="1" applyAlignment="1">
      <alignment horizontal="center"/>
    </xf>
    <xf numFmtId="0" fontId="2" fillId="0" borderId="24" xfId="46" applyBorder="1" applyAlignment="1">
      <alignment horizontal="center" vertical="center" wrapText="1"/>
    </xf>
    <xf numFmtId="0" fontId="2" fillId="0" borderId="36" xfId="46" applyBorder="1" applyAlignment="1">
      <alignment horizontal="center" vertical="center" wrapText="1"/>
    </xf>
    <xf numFmtId="0" fontId="2" fillId="0" borderId="15" xfId="46" applyBorder="1" applyAlignment="1">
      <alignment horizontal="center"/>
    </xf>
    <xf numFmtId="0" fontId="2" fillId="0" borderId="14" xfId="46" applyFill="1" applyBorder="1" applyAlignment="1">
      <alignment horizontal="right"/>
    </xf>
    <xf numFmtId="0" fontId="2" fillId="0" borderId="9" xfId="46" applyFill="1" applyBorder="1" applyAlignment="1">
      <alignment horizontal="right"/>
    </xf>
    <xf numFmtId="0" fontId="2" fillId="0" borderId="10" xfId="46" applyFill="1" applyBorder="1" applyAlignment="1">
      <alignment horizontal="right"/>
    </xf>
    <xf numFmtId="0" fontId="2" fillId="0" borderId="25" xfId="46" applyBorder="1" applyAlignment="1">
      <alignment horizontal="center"/>
    </xf>
    <xf numFmtId="0" fontId="2" fillId="0" borderId="26" xfId="46" applyBorder="1" applyAlignment="1">
      <alignment horizontal="center"/>
    </xf>
    <xf numFmtId="0" fontId="2" fillId="0" borderId="27" xfId="46" applyBorder="1" applyAlignment="1">
      <alignment horizontal="center"/>
    </xf>
    <xf numFmtId="0" fontId="2" fillId="0" borderId="28" xfId="46" applyBorder="1" applyAlignment="1">
      <alignment horizontal="center"/>
    </xf>
    <xf numFmtId="0" fontId="2" fillId="0" borderId="29" xfId="46" applyBorder="1" applyAlignment="1">
      <alignment horizontal="center"/>
    </xf>
    <xf numFmtId="0" fontId="2" fillId="0" borderId="30" xfId="46" applyBorder="1" applyAlignment="1">
      <alignment horizontal="center"/>
    </xf>
    <xf numFmtId="0" fontId="2" fillId="0" borderId="24" xfId="46" applyFill="1" applyBorder="1" applyAlignment="1">
      <alignment horizontal="right"/>
    </xf>
    <xf numFmtId="0" fontId="2" fillId="0" borderId="36" xfId="46" applyFill="1" applyBorder="1" applyAlignment="1">
      <alignment horizontal="right"/>
    </xf>
    <xf numFmtId="177" fontId="48" fillId="0" borderId="49" xfId="46" applyNumberFormat="1" applyFont="1" applyBorder="1" applyAlignment="1">
      <alignment horizontal="center"/>
    </xf>
    <xf numFmtId="177" fontId="48" fillId="0" borderId="2" xfId="46" applyNumberFormat="1" applyFont="1" applyBorder="1" applyAlignment="1">
      <alignment horizontal="center"/>
    </xf>
    <xf numFmtId="177" fontId="48" fillId="0" borderId="50" xfId="46" applyNumberFormat="1" applyFont="1" applyBorder="1" applyAlignment="1">
      <alignment horizontal="center"/>
    </xf>
    <xf numFmtId="177" fontId="48" fillId="0" borderId="24" xfId="46" applyNumberFormat="1" applyFont="1" applyBorder="1" applyAlignment="1">
      <alignment horizontal="center"/>
    </xf>
    <xf numFmtId="177" fontId="48" fillId="0" borderId="36" xfId="46" applyNumberFormat="1" applyFont="1" applyBorder="1" applyAlignment="1">
      <alignment horizontal="center"/>
    </xf>
    <xf numFmtId="177" fontId="48" fillId="0" borderId="37" xfId="46" applyNumberFormat="1" applyFont="1" applyBorder="1" applyAlignment="1">
      <alignment horizontal="center"/>
    </xf>
    <xf numFmtId="0" fontId="2" fillId="0" borderId="23" xfId="46" applyBorder="1" applyAlignment="1">
      <alignment horizontal="center"/>
    </xf>
    <xf numFmtId="0" fontId="2" fillId="0" borderId="1" xfId="46" applyBorder="1" applyAlignment="1">
      <alignment horizontal="center"/>
    </xf>
    <xf numFmtId="0" fontId="1" fillId="0" borderId="1" xfId="46" applyFont="1" applyBorder="1" applyAlignment="1">
      <alignment horizontal="center" vertical="center" wrapText="1"/>
    </xf>
    <xf numFmtId="0" fontId="2" fillId="0" borderId="1" xfId="46" applyBorder="1" applyAlignment="1">
      <alignment horizontal="right" vertical="center" wrapText="1"/>
    </xf>
    <xf numFmtId="0" fontId="2" fillId="0" borderId="1" xfId="46" applyBorder="1" applyAlignment="1">
      <alignment horizontal="left" vertical="center" wrapText="1"/>
    </xf>
    <xf numFmtId="2" fontId="2" fillId="0" borderId="1" xfId="46" applyNumberFormat="1" applyBorder="1" applyAlignment="1">
      <alignment horizontal="right" vertical="center"/>
    </xf>
    <xf numFmtId="2" fontId="2" fillId="0" borderId="20" xfId="46" applyNumberFormat="1" applyBorder="1" applyAlignment="1">
      <alignment horizontal="left" vertical="center"/>
    </xf>
    <xf numFmtId="2" fontId="2" fillId="0" borderId="23" xfId="46" applyNumberFormat="1" applyBorder="1" applyAlignment="1">
      <alignment horizontal="center"/>
    </xf>
    <xf numFmtId="2" fontId="2" fillId="0" borderId="1" xfId="46" applyNumberFormat="1" applyBorder="1" applyAlignment="1">
      <alignment horizontal="center"/>
    </xf>
    <xf numFmtId="2" fontId="2" fillId="0" borderId="20" xfId="46" applyNumberFormat="1" applyBorder="1" applyAlignment="1">
      <alignment horizontal="center"/>
    </xf>
    <xf numFmtId="2" fontId="2" fillId="0" borderId="23" xfId="46" applyNumberFormat="1" applyBorder="1" applyAlignment="1">
      <alignment horizontal="center" vertical="center" wrapText="1"/>
    </xf>
    <xf numFmtId="178" fontId="2" fillId="0" borderId="1" xfId="46" applyNumberFormat="1" applyBorder="1" applyAlignment="1">
      <alignment horizontal="right" vertical="center"/>
    </xf>
    <xf numFmtId="0" fontId="2" fillId="0" borderId="1" xfId="46" applyBorder="1" applyAlignment="1">
      <alignment horizontal="left" vertical="center"/>
    </xf>
    <xf numFmtId="2" fontId="2" fillId="0" borderId="20" xfId="46" applyNumberFormat="1" applyBorder="1" applyAlignment="1">
      <alignment horizontal="left" vertical="center" wrapText="1"/>
    </xf>
    <xf numFmtId="0" fontId="2" fillId="0" borderId="23" xfId="46" applyFill="1" applyBorder="1" applyAlignment="1">
      <alignment horizontal="right"/>
    </xf>
    <xf numFmtId="0" fontId="2" fillId="0" borderId="1" xfId="46" applyFill="1" applyBorder="1" applyAlignment="1">
      <alignment horizontal="right"/>
    </xf>
    <xf numFmtId="0" fontId="2" fillId="0" borderId="24" xfId="46" applyBorder="1" applyAlignment="1">
      <alignment horizontal="center"/>
    </xf>
    <xf numFmtId="0" fontId="2" fillId="0" borderId="36" xfId="46" applyBorder="1" applyAlignment="1">
      <alignment horizontal="center"/>
    </xf>
    <xf numFmtId="0" fontId="2" fillId="0" borderId="37" xfId="46" applyBorder="1" applyAlignment="1">
      <alignment horizontal="center"/>
    </xf>
    <xf numFmtId="0" fontId="48" fillId="0" borderId="49" xfId="46" applyFont="1" applyBorder="1" applyAlignment="1">
      <alignment horizontal="center"/>
    </xf>
    <xf numFmtId="0" fontId="48" fillId="0" borderId="2" xfId="46" applyFont="1" applyBorder="1" applyAlignment="1">
      <alignment horizontal="center"/>
    </xf>
    <xf numFmtId="0" fontId="48" fillId="0" borderId="50" xfId="46" applyFont="1" applyBorder="1" applyAlignment="1">
      <alignment horizontal="center"/>
    </xf>
    <xf numFmtId="169" fontId="2" fillId="0" borderId="14" xfId="46" applyNumberFormat="1" applyBorder="1" applyAlignment="1">
      <alignment horizontal="center"/>
    </xf>
    <xf numFmtId="169" fontId="2" fillId="0" borderId="9" xfId="46" applyNumberFormat="1" applyBorder="1" applyAlignment="1">
      <alignment horizontal="center"/>
    </xf>
    <xf numFmtId="169" fontId="2" fillId="0" borderId="15" xfId="46" applyNumberFormat="1" applyBorder="1" applyAlignment="1">
      <alignment horizontal="center"/>
    </xf>
    <xf numFmtId="0" fontId="48" fillId="0" borderId="21" xfId="46" applyFont="1" applyBorder="1" applyAlignment="1">
      <alignment horizontal="center"/>
    </xf>
    <xf numFmtId="0" fontId="48" fillId="0" borderId="22" xfId="46" applyFont="1" applyBorder="1" applyAlignment="1">
      <alignment horizontal="center"/>
    </xf>
    <xf numFmtId="0" fontId="48" fillId="0" borderId="12" xfId="46" applyFont="1" applyBorder="1" applyAlignment="1">
      <alignment horizontal="center"/>
    </xf>
    <xf numFmtId="0" fontId="18" fillId="10" borderId="5" xfId="0" applyFont="1" applyFill="1" applyBorder="1" applyAlignment="1">
      <alignment horizontal="center" vertical="center"/>
    </xf>
    <xf numFmtId="0" fontId="18" fillId="10" borderId="6" xfId="0" applyFont="1" applyFill="1" applyBorder="1" applyAlignment="1">
      <alignment horizontal="center" vertical="center"/>
    </xf>
    <xf numFmtId="0" fontId="31" fillId="10" borderId="21" xfId="0" applyFont="1" applyFill="1" applyBorder="1" applyAlignment="1">
      <alignment horizontal="center"/>
    </xf>
    <xf numFmtId="0" fontId="31" fillId="10" borderId="22" xfId="0" applyFont="1" applyFill="1" applyBorder="1" applyAlignment="1">
      <alignment horizontal="center"/>
    </xf>
    <xf numFmtId="0" fontId="31" fillId="10" borderId="12" xfId="0" applyFont="1" applyFill="1" applyBorder="1" applyAlignment="1">
      <alignment horizontal="center"/>
    </xf>
  </cellXfs>
  <cellStyles count="48">
    <cellStyle name="Hyperlink" xfId="1" builtinId="8"/>
    <cellStyle name="Moeda 2" xfId="6"/>
    <cellStyle name="Moeda 3" xfId="7"/>
    <cellStyle name="Moeda 4" xfId="38"/>
    <cellStyle name="Moeda 5" xfId="43"/>
    <cellStyle name="Normal" xfId="0" builtinId="0"/>
    <cellStyle name="Normal 10" xfId="26"/>
    <cellStyle name="Normal 11" xfId="27"/>
    <cellStyle name="Normal 12" xfId="30"/>
    <cellStyle name="Normal 13" xfId="32"/>
    <cellStyle name="Normal 14" xfId="34"/>
    <cellStyle name="Normal 15" xfId="37"/>
    <cellStyle name="Normal 16" xfId="39"/>
    <cellStyle name="Normal 17" xfId="41"/>
    <cellStyle name="Normal 18" xfId="44"/>
    <cellStyle name="Normal 19" xfId="46"/>
    <cellStyle name="Normal 2" xfId="8"/>
    <cellStyle name="Normal 2 2" xfId="9"/>
    <cellStyle name="Normal 2 3" xfId="25"/>
    <cellStyle name="Normal 3" xfId="10"/>
    <cellStyle name="Normal 4" xfId="11"/>
    <cellStyle name="Normal 5" xfId="12"/>
    <cellStyle name="Normal 6" xfId="4"/>
    <cellStyle name="Normal 7" xfId="13"/>
    <cellStyle name="Normal 8" xfId="14"/>
    <cellStyle name="Normal 9" xfId="15"/>
    <cellStyle name="Porcentagem" xfId="2" builtinId="5"/>
    <cellStyle name="Porcentagem 2" xfId="16"/>
    <cellStyle name="Porcentagem 3" xfId="17"/>
    <cellStyle name="Separador de milhares" xfId="3" builtinId="3"/>
    <cellStyle name="Separador de milhares 10" xfId="28"/>
    <cellStyle name="Separador de milhares 11" xfId="31"/>
    <cellStyle name="Separador de milhares 12" xfId="33"/>
    <cellStyle name="Separador de milhares 13" xfId="35"/>
    <cellStyle name="Separador de milhares 14" xfId="36"/>
    <cellStyle name="Separador de milhares 15" xfId="40"/>
    <cellStyle name="Separador de milhares 16" xfId="42"/>
    <cellStyle name="Separador de milhares 17" xfId="45"/>
    <cellStyle name="Separador de milhares 18" xfId="47"/>
    <cellStyle name="Separador de milhares 2" xfId="18"/>
    <cellStyle name="Separador de milhares 3" xfId="19"/>
    <cellStyle name="Separador de milhares 4" xfId="20"/>
    <cellStyle name="Separador de milhares 5" xfId="5"/>
    <cellStyle name="Separador de milhares 6" xfId="21"/>
    <cellStyle name="Separador de milhares 7" xfId="22"/>
    <cellStyle name="Separador de milhares 8" xfId="23"/>
    <cellStyle name="Separador de milhares 9" xfId="29"/>
    <cellStyle name="Vírgula 2" xfId="24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360045</xdr:colOff>
      <xdr:row>174</xdr:row>
      <xdr:rowOff>66040</xdr:rowOff>
    </xdr:from>
    <xdr:to>
      <xdr:col>5</xdr:col>
      <xdr:colOff>760095</xdr:colOff>
      <xdr:row>174</xdr:row>
      <xdr:rowOff>66040</xdr:rowOff>
    </xdr:to>
    <xdr:cxnSp macro="">
      <xdr:nvCxnSpPr>
        <xdr:cNvPr id="2" name="Line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CxnSpPr>
          <a:cxnSpLocks noChangeShapeType="1"/>
        </xdr:cNvCxnSpPr>
      </xdr:nvCxnSpPr>
      <xdr:spPr bwMode="auto">
        <a:xfrm>
          <a:off x="4512945" y="23215600"/>
          <a:ext cx="3280410" cy="0"/>
        </a:xfrm>
        <a:prstGeom prst="line">
          <a:avLst/>
        </a:prstGeom>
        <a:noFill/>
        <a:ln w="10668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4</xdr:row>
      <xdr:rowOff>28575</xdr:rowOff>
    </xdr:from>
    <xdr:to>
      <xdr:col>0</xdr:col>
      <xdr:colOff>1419225</xdr:colOff>
      <xdr:row>6</xdr:row>
      <xdr:rowOff>66675</xdr:rowOff>
    </xdr:to>
    <xdr:pic>
      <xdr:nvPicPr>
        <xdr:cNvPr id="650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19100"/>
          <a:ext cx="1285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7</xdr:row>
      <xdr:rowOff>9525</xdr:rowOff>
    </xdr:from>
    <xdr:to>
      <xdr:col>0</xdr:col>
      <xdr:colOff>2124075</xdr:colOff>
      <xdr:row>9</xdr:row>
      <xdr:rowOff>57150</xdr:rowOff>
    </xdr:to>
    <xdr:pic>
      <xdr:nvPicPr>
        <xdr:cNvPr id="650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885825"/>
          <a:ext cx="20383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s/Desktop/2020/Nova%20Bassano/Edital%20anterior/Container%20-%20Planilha%20Or&#231;amento%20modelo%20TCE%20Nova%20Bassan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s/Desktop/2019/Arvorezinha/Planilha%20Coleta%20de%20Lixo%20Arvorezinha%2021%2005%20adit%20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s/Desktop/2019/Il&#243;polis/Projeto%20coleta%20de%20lixo/Planilha%20Coleta%20de%20Lixo%20Ilop&#243;lis%2024%200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. Coleta Domiciliar"/>
      <sheetName val="2.Encargos Sociais"/>
      <sheetName val="3.CAGED"/>
      <sheetName val="4.BDI"/>
      <sheetName val="5. Depreciação"/>
      <sheetName val="6.Remuneração de capital"/>
      <sheetName val="7. Dimensionamento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. Coleta Domiciliar"/>
      <sheetName val="1. Coleta Domiciliar Adit 1"/>
      <sheetName val="1. Coleta Domiciliar Seletivo"/>
      <sheetName val="1. Coleta Seleti Adit 1"/>
      <sheetName val="1. Transporte e DF"/>
      <sheetName val="1. Transporte e DF Adit 1"/>
      <sheetName val="Resumo"/>
      <sheetName val="Resumo Adit 1"/>
      <sheetName val="Roteiros"/>
      <sheetName val="Horários"/>
      <sheetName val="2.Encargos Sociais"/>
      <sheetName val="2.Encargos Sociais (2)"/>
      <sheetName val="Feriados "/>
      <sheetName val="3.CAGED"/>
      <sheetName val="4.BDI"/>
      <sheetName val="4.BDI Seletivo"/>
      <sheetName val="4.BDI Transp DF"/>
      <sheetName val="5. Depreciação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4">
          <cell r="C34">
            <v>0.4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1. Coleta Domiciliar"/>
      <sheetName val="2. Coleta Seletiva"/>
      <sheetName val="3. Transporte e DF"/>
      <sheetName val="4.Encargos Sociais"/>
      <sheetName val="5.CAGED"/>
      <sheetName val="6.BDI"/>
      <sheetName val="7. Depreciação"/>
      <sheetName val="Rotas Org"/>
      <sheetName val="Rotas Seletiva"/>
      <sheetName val="Ton"/>
      <sheetName val="Horários"/>
      <sheetName val="Resumo"/>
      <sheetName val="Memória"/>
    </sheetNames>
    <sheetDataSet>
      <sheetData sheetId="0"/>
      <sheetData sheetId="1"/>
      <sheetData sheetId="2"/>
      <sheetData sheetId="3"/>
      <sheetData sheetId="4"/>
      <sheetData sheetId="5"/>
      <sheetData sheetId="6">
        <row r="17">
          <cell r="B17">
            <v>70.73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45"/>
  <sheetViews>
    <sheetView tabSelected="1" zoomScaleSheetLayoutView="100" workbookViewId="0"/>
  </sheetViews>
  <sheetFormatPr defaultColWidth="9.109375" defaultRowHeight="13.2"/>
  <cols>
    <col min="1" max="1" width="44.5546875" style="9" customWidth="1"/>
    <col min="2" max="2" width="16" style="9" bestFit="1" customWidth="1"/>
    <col min="3" max="3" width="11.88671875" style="9" customWidth="1"/>
    <col min="4" max="4" width="14.6640625" style="10" customWidth="1"/>
    <col min="5" max="5" width="15.44140625" style="10" customWidth="1"/>
    <col min="6" max="6" width="13.33203125" style="10" customWidth="1"/>
    <col min="7" max="7" width="28.109375" style="10" customWidth="1"/>
    <col min="8" max="8" width="9.109375" style="9"/>
    <col min="9" max="9" width="14.5546875" style="9" customWidth="1"/>
    <col min="10" max="10" width="13.44140625" style="9" customWidth="1"/>
    <col min="11" max="16384" width="9.109375" style="9"/>
  </cols>
  <sheetData>
    <row r="1" spans="1:7" ht="15.6">
      <c r="A1" s="303" t="s">
        <v>205</v>
      </c>
    </row>
    <row r="2" spans="1:7" ht="15.6">
      <c r="A2" s="349" t="s">
        <v>290</v>
      </c>
    </row>
    <row r="3" spans="1:7" ht="15.6">
      <c r="A3" s="349" t="s">
        <v>291</v>
      </c>
    </row>
    <row r="4" spans="1:7" ht="15.6">
      <c r="A4" s="349" t="s">
        <v>293</v>
      </c>
    </row>
    <row r="5" spans="1:7" s="4" customFormat="1" ht="15.6" customHeight="1">
      <c r="A5" s="303" t="s">
        <v>287</v>
      </c>
      <c r="C5" s="139"/>
      <c r="D5" s="139"/>
      <c r="E5" s="139"/>
      <c r="F5" s="139"/>
      <c r="G5" s="6"/>
    </row>
    <row r="6" spans="1:7" s="4" customFormat="1" ht="15.6" customHeight="1">
      <c r="A6" s="304" t="s">
        <v>292</v>
      </c>
      <c r="B6" s="139"/>
      <c r="C6" s="139"/>
      <c r="D6" s="139"/>
      <c r="E6" s="139"/>
      <c r="F6" s="139"/>
      <c r="G6" s="6"/>
    </row>
    <row r="7" spans="1:7" s="4" customFormat="1" ht="15.6" hidden="1" customHeight="1">
      <c r="A7" s="138"/>
      <c r="B7" s="139"/>
      <c r="C7" s="139"/>
      <c r="D7" s="139"/>
      <c r="E7" s="139"/>
      <c r="F7" s="139"/>
      <c r="G7" s="6"/>
    </row>
    <row r="8" spans="1:7" s="4" customFormat="1" ht="15.6" hidden="1" customHeight="1">
      <c r="A8" s="305" t="s">
        <v>298</v>
      </c>
      <c r="B8" s="139"/>
      <c r="C8" s="139"/>
      <c r="D8" s="139"/>
      <c r="E8" s="139"/>
      <c r="F8" s="139"/>
      <c r="G8" s="6"/>
    </row>
    <row r="9" spans="1:7" s="4" customFormat="1" ht="15.6" customHeight="1">
      <c r="A9" s="349" t="s">
        <v>295</v>
      </c>
      <c r="B9" s="139"/>
      <c r="C9" s="139"/>
      <c r="D9" s="139"/>
      <c r="E9" s="139"/>
      <c r="F9" s="139"/>
      <c r="G9" s="6"/>
    </row>
    <row r="10" spans="1:7" s="4" customFormat="1" ht="16.5" customHeight="1">
      <c r="A10" s="7"/>
      <c r="B10" s="5"/>
      <c r="C10" s="5"/>
      <c r="D10" s="6"/>
      <c r="E10" s="6"/>
      <c r="F10" s="6"/>
      <c r="G10" s="6"/>
    </row>
    <row r="11" spans="1:7" s="4" customFormat="1" ht="16.5" customHeight="1" thickBot="1">
      <c r="A11" s="352" t="s">
        <v>444</v>
      </c>
      <c r="B11" s="5"/>
      <c r="C11" s="5"/>
      <c r="D11" s="6"/>
      <c r="E11" s="6"/>
      <c r="F11" s="6"/>
      <c r="G11" s="6"/>
    </row>
    <row r="12" spans="1:7" s="8" customFormat="1" ht="17.399999999999999">
      <c r="A12" s="624" t="s">
        <v>566</v>
      </c>
      <c r="B12" s="625"/>
      <c r="C12" s="625"/>
      <c r="D12" s="625"/>
      <c r="E12" s="625"/>
      <c r="F12" s="626"/>
      <c r="G12" s="36"/>
    </row>
    <row r="13" spans="1:7" s="8" customFormat="1" ht="21.75" customHeight="1">
      <c r="A13" s="627" t="s">
        <v>45</v>
      </c>
      <c r="B13" s="628"/>
      <c r="C13" s="628"/>
      <c r="D13" s="628"/>
      <c r="E13" s="628"/>
      <c r="F13" s="629"/>
      <c r="G13" s="36"/>
    </row>
    <row r="14" spans="1:7" s="4" customFormat="1" ht="10.95" customHeight="1" thickBot="1">
      <c r="A14" s="151"/>
      <c r="B14" s="152"/>
      <c r="C14" s="152"/>
      <c r="D14" s="153"/>
      <c r="E14" s="153"/>
      <c r="F14" s="154"/>
      <c r="G14" s="6"/>
    </row>
    <row r="15" spans="1:7" s="4" customFormat="1" ht="15.75" customHeight="1" thickBot="1">
      <c r="A15" s="633" t="s">
        <v>204</v>
      </c>
      <c r="B15" s="634"/>
      <c r="C15" s="634"/>
      <c r="D15" s="634"/>
      <c r="E15" s="634"/>
      <c r="F15" s="635"/>
      <c r="G15" s="6"/>
    </row>
    <row r="16" spans="1:7" s="4" customFormat="1" ht="15.75" customHeight="1">
      <c r="A16" s="64" t="s">
        <v>203</v>
      </c>
      <c r="B16" s="40"/>
      <c r="C16" s="40"/>
      <c r="D16" s="261"/>
      <c r="E16" s="115" t="s">
        <v>40</v>
      </c>
      <c r="F16" s="41" t="s">
        <v>2</v>
      </c>
      <c r="G16" s="6"/>
    </row>
    <row r="17" spans="1:7" s="11" customFormat="1" ht="15.75" customHeight="1">
      <c r="A17" s="125" t="str">
        <f>A55</f>
        <v>1. Mão-de-obra</v>
      </c>
      <c r="B17" s="126"/>
      <c r="C17" s="127"/>
      <c r="D17" s="127"/>
      <c r="E17" s="258">
        <f>+F153</f>
        <v>7376.5275478097028</v>
      </c>
      <c r="F17" s="128">
        <f>IFERROR(E17/$E$38,0)</f>
        <v>0.35168853772554787</v>
      </c>
      <c r="G17" s="44"/>
    </row>
    <row r="18" spans="1:7" s="4" customFormat="1" ht="15.75" customHeight="1">
      <c r="A18" s="49" t="str">
        <f>A57</f>
        <v>1.1. Coletor Turno Dia</v>
      </c>
      <c r="B18" s="45"/>
      <c r="C18" s="47"/>
      <c r="D18" s="47"/>
      <c r="E18" s="259">
        <f>F68</f>
        <v>3937.9668342118362</v>
      </c>
      <c r="F18" s="58">
        <f>IFERROR(E18/$E$38,0)</f>
        <v>0.18774928834189636</v>
      </c>
      <c r="G18" s="6"/>
    </row>
    <row r="19" spans="1:7" s="4" customFormat="1" ht="15.75" hidden="1" customHeight="1">
      <c r="A19" s="49" t="str">
        <f>A70</f>
        <v>1.2. Coletor Turno Noite</v>
      </c>
      <c r="B19" s="45"/>
      <c r="C19" s="47"/>
      <c r="D19" s="47"/>
      <c r="E19" s="259">
        <f>F87</f>
        <v>0</v>
      </c>
      <c r="F19" s="58">
        <f t="shared" ref="F19:F37" si="0">IFERROR(E19/$E$38,0)</f>
        <v>0</v>
      </c>
      <c r="G19" s="6"/>
    </row>
    <row r="20" spans="1:7" s="4" customFormat="1" ht="15.75" customHeight="1">
      <c r="A20" s="49" t="str">
        <f>A89</f>
        <v>1.3. Motorista Turno do Dia</v>
      </c>
      <c r="B20" s="45"/>
      <c r="C20" s="47"/>
      <c r="D20" s="47"/>
      <c r="E20" s="259">
        <f>F102</f>
        <v>2114.0692537377272</v>
      </c>
      <c r="F20" s="58">
        <f t="shared" si="0"/>
        <v>0.10079185899852372</v>
      </c>
      <c r="G20" s="6"/>
    </row>
    <row r="21" spans="1:7" s="4" customFormat="1" ht="15.75" customHeight="1">
      <c r="A21" s="49" t="str">
        <f>A105</f>
        <v>1.4. Encarregado/Supervisor</v>
      </c>
      <c r="B21" s="45"/>
      <c r="C21" s="47"/>
      <c r="D21" s="47"/>
      <c r="E21" s="259">
        <f>F124</f>
        <v>422.7504381818182</v>
      </c>
      <c r="F21" s="58">
        <f t="shared" si="0"/>
        <v>2.0155348497430128E-2</v>
      </c>
      <c r="G21" s="6"/>
    </row>
    <row r="22" spans="1:7" s="4" customFormat="1" ht="15.75" customHeight="1">
      <c r="A22" s="49" t="str">
        <f>A126</f>
        <v>1.5. Vale Transporte</v>
      </c>
      <c r="B22" s="45"/>
      <c r="C22" s="47"/>
      <c r="D22" s="47"/>
      <c r="E22" s="259">
        <f>F132</f>
        <v>139.16213076923077</v>
      </c>
      <c r="F22" s="58">
        <f t="shared" si="0"/>
        <v>6.6347920427050266E-3</v>
      </c>
      <c r="G22" s="6"/>
    </row>
    <row r="23" spans="1:7" s="4" customFormat="1" ht="15.75" customHeight="1">
      <c r="A23" s="49" t="str">
        <f>A134</f>
        <v>1.6. Vale-refeição (diário)</v>
      </c>
      <c r="B23" s="45"/>
      <c r="C23" s="47"/>
      <c r="D23" s="47"/>
      <c r="E23" s="259">
        <f>F139</f>
        <v>694.99980000000005</v>
      </c>
      <c r="F23" s="58">
        <f t="shared" si="0"/>
        <v>3.3135301372815236E-2</v>
      </c>
      <c r="G23" s="6"/>
    </row>
    <row r="24" spans="1:7" s="4" customFormat="1" ht="15.75" customHeight="1">
      <c r="A24" s="49" t="str">
        <f>A141</f>
        <v>1.7. Auxílio Alimentação (mensal)</v>
      </c>
      <c r="B24" s="45"/>
      <c r="C24" s="47"/>
      <c r="D24" s="47"/>
      <c r="E24" s="259">
        <f>F145</f>
        <v>48.409090909090907</v>
      </c>
      <c r="F24" s="58">
        <f t="shared" si="0"/>
        <v>2.3079860115884023E-3</v>
      </c>
      <c r="G24" s="6"/>
    </row>
    <row r="25" spans="1:7" s="4" customFormat="1" ht="15.75" customHeight="1">
      <c r="A25" s="49" t="str">
        <f>A147</f>
        <v xml:space="preserve">1.8. Plano de Benefício Social  </v>
      </c>
      <c r="B25" s="45"/>
      <c r="C25" s="47"/>
      <c r="D25" s="47"/>
      <c r="E25" s="259">
        <f>F151</f>
        <v>19.169999999999998</v>
      </c>
      <c r="F25" s="58">
        <f t="shared" ref="F25" si="1">IFERROR(E25/$E$38,0)</f>
        <v>9.1396246058900719E-4</v>
      </c>
      <c r="G25" s="6"/>
    </row>
    <row r="26" spans="1:7" s="11" customFormat="1" ht="15.75" customHeight="1">
      <c r="A26" s="622" t="str">
        <f>A155</f>
        <v>2. Uniformes e Equipamentos de Proteção Individual</v>
      </c>
      <c r="B26" s="623"/>
      <c r="C26" s="623"/>
      <c r="D26" s="127"/>
      <c r="E26" s="258">
        <f>+F187</f>
        <v>347.05681818181813</v>
      </c>
      <c r="F26" s="128">
        <f t="shared" si="0"/>
        <v>1.6546526004676383E-2</v>
      </c>
      <c r="G26" s="44"/>
    </row>
    <row r="27" spans="1:7" s="11" customFormat="1" ht="15.75" customHeight="1">
      <c r="A27" s="136" t="str">
        <f>A189</f>
        <v>3. Veículos e Equipamentos</v>
      </c>
      <c r="B27" s="137"/>
      <c r="C27" s="127"/>
      <c r="D27" s="127"/>
      <c r="E27" s="258">
        <f>+F268</f>
        <v>8018.7672429397871</v>
      </c>
      <c r="F27" s="128">
        <f t="shared" si="0"/>
        <v>0.38230841107187158</v>
      </c>
      <c r="G27" s="44"/>
    </row>
    <row r="28" spans="1:7" s="4" customFormat="1" ht="15.75" customHeight="1">
      <c r="A28" s="65" t="str">
        <f>A191</f>
        <v>3.1. Veículo Coletor com compactador</v>
      </c>
      <c r="B28" s="46"/>
      <c r="C28" s="47"/>
      <c r="D28" s="47"/>
      <c r="E28" s="259">
        <f>SUM(E29:E34)</f>
        <v>8018.7672429397871</v>
      </c>
      <c r="F28" s="144">
        <f t="shared" si="0"/>
        <v>0.38230841107187158</v>
      </c>
      <c r="G28" s="6"/>
    </row>
    <row r="29" spans="1:7" s="4" customFormat="1" ht="15.75" customHeight="1">
      <c r="A29" s="65" t="str">
        <f>A193</f>
        <v>3.1.1. Depreciação</v>
      </c>
      <c r="B29" s="46"/>
      <c r="C29" s="47"/>
      <c r="D29" s="47"/>
      <c r="E29" s="259">
        <f>F207</f>
        <v>1150.4310737500005</v>
      </c>
      <c r="F29" s="144">
        <f t="shared" si="0"/>
        <v>5.4848764470662711E-2</v>
      </c>
      <c r="G29" s="6"/>
    </row>
    <row r="30" spans="1:7" s="4" customFormat="1" ht="15.75" customHeight="1">
      <c r="A30" s="65" t="str">
        <f>A209</f>
        <v>3.1.2. Remuneração do Capital</v>
      </c>
      <c r="B30" s="46"/>
      <c r="C30" s="47"/>
      <c r="D30" s="47"/>
      <c r="E30" s="259">
        <f>F223</f>
        <v>191.940899675</v>
      </c>
      <c r="F30" s="144">
        <f t="shared" si="0"/>
        <v>9.1511099089530926E-3</v>
      </c>
      <c r="G30" s="6"/>
    </row>
    <row r="31" spans="1:7" s="4" customFormat="1" ht="15.75" customHeight="1">
      <c r="A31" s="65" t="str">
        <f>A225</f>
        <v>3.1.3. Impostos e Seguros</v>
      </c>
      <c r="B31" s="46"/>
      <c r="C31" s="47"/>
      <c r="D31" s="47"/>
      <c r="E31" s="259">
        <f>F231</f>
        <v>256.04094631250001</v>
      </c>
      <c r="F31" s="144">
        <f t="shared" si="0"/>
        <v>1.2207189009040711E-2</v>
      </c>
      <c r="G31" s="6"/>
    </row>
    <row r="32" spans="1:7" s="4" customFormat="1" ht="15.75" customHeight="1">
      <c r="A32" s="65" t="str">
        <f>A233</f>
        <v>3.1.4. Consumos</v>
      </c>
      <c r="B32" s="46"/>
      <c r="C32" s="47"/>
      <c r="D32" s="47"/>
      <c r="E32" s="259">
        <f>F251</f>
        <v>3963.0018048349393</v>
      </c>
      <c r="F32" s="144">
        <f t="shared" si="0"/>
        <v>0.18894287328459144</v>
      </c>
      <c r="G32" s="6"/>
    </row>
    <row r="33" spans="1:7" s="4" customFormat="1" ht="15.75" customHeight="1">
      <c r="A33" s="65" t="str">
        <f>A253</f>
        <v>3.1.5. Manutenção</v>
      </c>
      <c r="B33" s="46"/>
      <c r="C33" s="47"/>
      <c r="D33" s="47"/>
      <c r="E33" s="259">
        <f>F256</f>
        <v>1932.2196514285715</v>
      </c>
      <c r="F33" s="144">
        <f t="shared" si="0"/>
        <v>9.2121868910698554E-2</v>
      </c>
      <c r="G33" s="6"/>
    </row>
    <row r="34" spans="1:7" s="4" customFormat="1" ht="15.75" customHeight="1">
      <c r="A34" s="65" t="str">
        <f>A258</f>
        <v>3.1.6. Pneus</v>
      </c>
      <c r="B34" s="46"/>
      <c r="C34" s="47"/>
      <c r="D34" s="47"/>
      <c r="E34" s="259">
        <f>F265</f>
        <v>525.13286693877558</v>
      </c>
      <c r="F34" s="144">
        <f t="shared" si="0"/>
        <v>2.5036605487925044E-2</v>
      </c>
      <c r="G34" s="6"/>
    </row>
    <row r="35" spans="1:7" s="11" customFormat="1" ht="15.75" customHeight="1">
      <c r="A35" s="136" t="str">
        <f>A270</f>
        <v xml:space="preserve">4. Ferramentas, Materiais de Consumo e Educação Ambiental </v>
      </c>
      <c r="B35" s="137"/>
      <c r="C35" s="127"/>
      <c r="D35" s="127"/>
      <c r="E35" s="258">
        <f>+F282</f>
        <v>977.01833333333332</v>
      </c>
      <c r="F35" s="128">
        <f t="shared" si="0"/>
        <v>4.6581016169739399E-2</v>
      </c>
      <c r="G35" s="44"/>
    </row>
    <row r="36" spans="1:7" s="11" customFormat="1" ht="15.75" customHeight="1">
      <c r="A36" s="136" t="str">
        <f>A284</f>
        <v>5. Monitoramento da Frota</v>
      </c>
      <c r="B36" s="137"/>
      <c r="C36" s="127"/>
      <c r="D36" s="127"/>
      <c r="E36" s="258">
        <f>+F293</f>
        <v>81.818181818181813</v>
      </c>
      <c r="F36" s="128">
        <f t="shared" si="0"/>
        <v>3.9008214280367359E-3</v>
      </c>
      <c r="G36" s="44"/>
    </row>
    <row r="37" spans="1:7" s="11" customFormat="1" ht="15.75" customHeight="1" thickBot="1">
      <c r="A37" s="136" t="str">
        <f>A297</f>
        <v>6. Benefícios e Despesas Indiretas - BDI</v>
      </c>
      <c r="B37" s="137"/>
      <c r="C37" s="127"/>
      <c r="D37" s="127"/>
      <c r="E37" s="260">
        <f>+F303</f>
        <v>4173.4151300221729</v>
      </c>
      <c r="F37" s="128">
        <f t="shared" si="0"/>
        <v>0.19897468760012818</v>
      </c>
      <c r="G37" s="44"/>
    </row>
    <row r="38" spans="1:7" s="4" customFormat="1" ht="15.75" customHeight="1" thickBot="1">
      <c r="A38" s="42" t="s">
        <v>241</v>
      </c>
      <c r="B38" s="43"/>
      <c r="C38" s="26"/>
      <c r="D38" s="26"/>
      <c r="E38" s="114">
        <f>E17+E26+E27+E35+E36+E37</f>
        <v>20974.603254104994</v>
      </c>
      <c r="F38" s="143">
        <f>F17+F26+F27+F35+F36+F37</f>
        <v>1.0000000000000002</v>
      </c>
      <c r="G38" s="6"/>
    </row>
    <row r="40" spans="1:7" ht="13.8" thickBot="1"/>
    <row r="41" spans="1:7" s="4" customFormat="1" ht="15" customHeight="1" thickBot="1">
      <c r="A41" s="633" t="s">
        <v>99</v>
      </c>
      <c r="B41" s="634"/>
      <c r="C41" s="634"/>
      <c r="D41" s="634"/>
      <c r="E41" s="635"/>
      <c r="F41" s="10"/>
      <c r="G41" s="6"/>
    </row>
    <row r="42" spans="1:7" s="4" customFormat="1" ht="15" customHeight="1" thickBot="1">
      <c r="A42" s="630" t="s">
        <v>41</v>
      </c>
      <c r="B42" s="631"/>
      <c r="C42" s="631"/>
      <c r="D42" s="632"/>
      <c r="E42" s="48" t="s">
        <v>42</v>
      </c>
      <c r="F42" s="10"/>
      <c r="G42" s="6"/>
    </row>
    <row r="43" spans="1:7" s="4" customFormat="1" ht="15" customHeight="1">
      <c r="A43" s="73" t="str">
        <f>+A57</f>
        <v>1.1. Coletor Turno Dia</v>
      </c>
      <c r="B43" s="74"/>
      <c r="C43" s="74"/>
      <c r="D43" s="75"/>
      <c r="E43" s="76">
        <f>C67</f>
        <v>2</v>
      </c>
      <c r="F43" s="10"/>
      <c r="G43" s="6"/>
    </row>
    <row r="44" spans="1:7" s="4" customFormat="1" ht="15" hidden="1" customHeight="1">
      <c r="A44" s="67" t="str">
        <f>+A70</f>
        <v>1.2. Coletor Turno Noite</v>
      </c>
      <c r="B44" s="66"/>
      <c r="C44" s="66"/>
      <c r="D44" s="77"/>
      <c r="E44" s="70">
        <f>C86</f>
        <v>0</v>
      </c>
      <c r="F44" s="10"/>
      <c r="G44" s="6"/>
    </row>
    <row r="45" spans="1:7" s="4" customFormat="1" ht="15" customHeight="1">
      <c r="A45" s="67" t="str">
        <f>+A89</f>
        <v>1.3. Motorista Turno do Dia</v>
      </c>
      <c r="B45" s="66"/>
      <c r="C45" s="66"/>
      <c r="D45" s="77"/>
      <c r="E45" s="70">
        <f>C101</f>
        <v>1</v>
      </c>
      <c r="F45" s="10"/>
      <c r="G45" s="6"/>
    </row>
    <row r="46" spans="1:7" s="4" customFormat="1" ht="15" customHeight="1">
      <c r="A46" s="67" t="str">
        <f>+A105</f>
        <v>1.4. Encarregado/Supervisor</v>
      </c>
      <c r="B46" s="66"/>
      <c r="C46" s="66"/>
      <c r="D46" s="77"/>
      <c r="E46" s="70">
        <f>C123</f>
        <v>1</v>
      </c>
      <c r="F46" s="10"/>
      <c r="G46" s="6"/>
    </row>
    <row r="47" spans="1:7" s="4" customFormat="1" ht="15" customHeight="1" thickBot="1">
      <c r="A47" s="71" t="s">
        <v>60</v>
      </c>
      <c r="B47" s="72"/>
      <c r="C47" s="72"/>
      <c r="D47" s="78"/>
      <c r="E47" s="79">
        <f>SUM(E43:E46)</f>
        <v>4</v>
      </c>
      <c r="F47" s="10"/>
      <c r="G47" s="6"/>
    </row>
    <row r="48" spans="1:7" s="4" customFormat="1" ht="15" customHeight="1" thickBot="1">
      <c r="A48" s="129"/>
      <c r="B48" s="130"/>
      <c r="C48" s="59"/>
      <c r="D48" s="59"/>
      <c r="E48" s="131"/>
      <c r="F48" s="10"/>
      <c r="G48" s="6"/>
    </row>
    <row r="49" spans="1:7" s="4" customFormat="1" ht="15" customHeight="1">
      <c r="A49" s="620" t="s">
        <v>58</v>
      </c>
      <c r="B49" s="621"/>
      <c r="C49" s="621"/>
      <c r="D49" s="621"/>
      <c r="E49" s="48" t="s">
        <v>42</v>
      </c>
      <c r="F49" s="9"/>
      <c r="G49" s="6"/>
    </row>
    <row r="50" spans="1:7" s="4" customFormat="1" ht="15" customHeight="1" thickBot="1">
      <c r="A50" s="132" t="str">
        <f>+A191</f>
        <v>3.1. Veículo Coletor com compactador</v>
      </c>
      <c r="B50" s="133"/>
      <c r="C50" s="133"/>
      <c r="D50" s="134"/>
      <c r="E50" s="135">
        <f>C206</f>
        <v>1.1000000000000001</v>
      </c>
      <c r="F50" s="9"/>
      <c r="G50" s="6"/>
    </row>
    <row r="51" spans="1:7" s="4" customFormat="1" ht="15" customHeight="1">
      <c r="A51" s="59"/>
      <c r="B51" s="59"/>
      <c r="C51" s="59"/>
      <c r="D51" s="54"/>
      <c r="E51" s="251"/>
      <c r="F51" s="9"/>
      <c r="G51" s="6"/>
    </row>
    <row r="52" spans="1:7" s="4" customFormat="1" ht="13.8" thickBot="1">
      <c r="A52" s="59"/>
      <c r="B52" s="59"/>
      <c r="C52" s="59"/>
      <c r="D52" s="54"/>
      <c r="E52" s="68"/>
      <c r="F52" s="9"/>
      <c r="G52" s="6"/>
    </row>
    <row r="53" spans="1:7" s="11" customFormat="1" ht="15.75" customHeight="1" thickBot="1">
      <c r="A53" s="262" t="s">
        <v>198</v>
      </c>
      <c r="B53" s="326">
        <f>Horários!F26/Horários!F27</f>
        <v>0.61363636363636365</v>
      </c>
      <c r="C53" s="35"/>
      <c r="D53" s="34"/>
      <c r="E53" s="156"/>
      <c r="G53" s="44"/>
    </row>
    <row r="54" spans="1:7" s="4" customFormat="1" ht="15.75" customHeight="1">
      <c r="A54" s="59"/>
      <c r="B54" s="59"/>
      <c r="C54" s="59"/>
      <c r="D54" s="54"/>
      <c r="E54" s="68"/>
      <c r="F54" s="9"/>
      <c r="G54" s="6"/>
    </row>
    <row r="55" spans="1:7" ht="13.2" customHeight="1">
      <c r="A55" s="11" t="s">
        <v>49</v>
      </c>
    </row>
    <row r="56" spans="1:7" ht="11.25" customHeight="1"/>
    <row r="57" spans="1:7" ht="13.95" customHeight="1" thickBot="1">
      <c r="A57" s="9" t="s">
        <v>102</v>
      </c>
    </row>
    <row r="58" spans="1:7" ht="13.95" customHeight="1" thickBot="1">
      <c r="A58" s="60" t="s">
        <v>64</v>
      </c>
      <c r="B58" s="61" t="s">
        <v>65</v>
      </c>
      <c r="C58" s="61" t="s">
        <v>42</v>
      </c>
      <c r="D58" s="62" t="s">
        <v>237</v>
      </c>
      <c r="E58" s="62" t="s">
        <v>66</v>
      </c>
      <c r="F58" s="63" t="s">
        <v>67</v>
      </c>
    </row>
    <row r="59" spans="1:7" ht="13.2" customHeight="1">
      <c r="A59" s="13" t="s">
        <v>219</v>
      </c>
      <c r="B59" s="14" t="s">
        <v>8</v>
      </c>
      <c r="C59" s="14">
        <v>1</v>
      </c>
      <c r="D59" s="325">
        <v>1330.73</v>
      </c>
      <c r="E59" s="15">
        <f>C59*D59</f>
        <v>1330.73</v>
      </c>
    </row>
    <row r="60" spans="1:7" hidden="1">
      <c r="A60" s="16" t="s">
        <v>36</v>
      </c>
      <c r="B60" s="17" t="s">
        <v>0</v>
      </c>
      <c r="C60" s="88"/>
      <c r="D60" s="18">
        <f>D59/220*2</f>
        <v>12.097545454545454</v>
      </c>
      <c r="E60" s="18">
        <f>C60*D60</f>
        <v>0</v>
      </c>
      <c r="G60" s="10" t="s">
        <v>253</v>
      </c>
    </row>
    <row r="61" spans="1:7" ht="13.2" hidden="1" customHeight="1">
      <c r="A61" s="16" t="s">
        <v>37</v>
      </c>
      <c r="B61" s="17" t="s">
        <v>0</v>
      </c>
      <c r="C61" s="88"/>
      <c r="D61" s="18">
        <f>D59/220*1.5</f>
        <v>9.0731590909090905</v>
      </c>
      <c r="E61" s="18">
        <f>C61*D61</f>
        <v>0</v>
      </c>
      <c r="G61" s="10" t="s">
        <v>255</v>
      </c>
    </row>
    <row r="62" spans="1:7" ht="13.2" hidden="1" customHeight="1">
      <c r="A62" s="16" t="s">
        <v>223</v>
      </c>
      <c r="B62" s="17" t="s">
        <v>35</v>
      </c>
      <c r="D62" s="18">
        <f>63/302*(SUM(E60:E61))</f>
        <v>0</v>
      </c>
      <c r="E62" s="18">
        <f>D62</f>
        <v>0</v>
      </c>
      <c r="G62" s="10" t="s">
        <v>222</v>
      </c>
    </row>
    <row r="63" spans="1:7">
      <c r="A63" s="16" t="s">
        <v>1</v>
      </c>
      <c r="B63" s="17" t="s">
        <v>2</v>
      </c>
      <c r="C63" s="17">
        <v>40</v>
      </c>
      <c r="D63" s="83">
        <f>SUM(E59:E62)</f>
        <v>1330.73</v>
      </c>
      <c r="E63" s="18">
        <f>C63*D63/100</f>
        <v>532.29199999999992</v>
      </c>
    </row>
    <row r="64" spans="1:7">
      <c r="A64" s="116" t="s">
        <v>3</v>
      </c>
      <c r="B64" s="117"/>
      <c r="C64" s="117"/>
      <c r="D64" s="118"/>
      <c r="E64" s="119">
        <f>SUM(E59:E63)</f>
        <v>1863.0219999999999</v>
      </c>
    </row>
    <row r="65" spans="1:7">
      <c r="A65" s="16" t="s">
        <v>4</v>
      </c>
      <c r="B65" s="17" t="s">
        <v>2</v>
      </c>
      <c r="C65" s="141">
        <f>'5.Enc Sociais'!$C$38*100</f>
        <v>72.231660000000005</v>
      </c>
      <c r="D65" s="18">
        <f>E64</f>
        <v>1863.0219999999999</v>
      </c>
      <c r="E65" s="18">
        <f>D65*C65/100</f>
        <v>1345.6917167652</v>
      </c>
    </row>
    <row r="66" spans="1:7">
      <c r="A66" s="116" t="s">
        <v>74</v>
      </c>
      <c r="B66" s="117"/>
      <c r="C66" s="117"/>
      <c r="D66" s="118"/>
      <c r="E66" s="119">
        <f>E64+E65</f>
        <v>3208.7137167651999</v>
      </c>
    </row>
    <row r="67" spans="1:7" ht="13.8" thickBot="1">
      <c r="A67" s="16" t="s">
        <v>5</v>
      </c>
      <c r="B67" s="17" t="s">
        <v>6</v>
      </c>
      <c r="C67" s="86">
        <v>2</v>
      </c>
      <c r="D67" s="18">
        <f>E66</f>
        <v>3208.7137167651999</v>
      </c>
      <c r="E67" s="18">
        <f>C67*D67</f>
        <v>6417.4274335303999</v>
      </c>
      <c r="G67" s="6"/>
    </row>
    <row r="68" spans="1:7" ht="13.95" customHeight="1" thickBot="1">
      <c r="A68" s="7" t="s">
        <v>437</v>
      </c>
      <c r="D68" s="123" t="s">
        <v>197</v>
      </c>
      <c r="E68" s="327">
        <f>$B$53</f>
        <v>0.61363636363636365</v>
      </c>
      <c r="F68" s="124">
        <f>E67*E68</f>
        <v>3937.9668342118362</v>
      </c>
      <c r="G68" s="6"/>
    </row>
    <row r="69" spans="1:7" ht="11.25" customHeight="1"/>
    <row r="70" spans="1:7" hidden="1">
      <c r="A70" s="9" t="s">
        <v>92</v>
      </c>
    </row>
    <row r="71" spans="1:7" ht="13.8" hidden="1" thickBot="1">
      <c r="A71" s="60" t="s">
        <v>64</v>
      </c>
      <c r="B71" s="61" t="s">
        <v>65</v>
      </c>
      <c r="C71" s="61" t="s">
        <v>42</v>
      </c>
      <c r="D71" s="62" t="s">
        <v>237</v>
      </c>
      <c r="E71" s="62" t="s">
        <v>66</v>
      </c>
      <c r="F71" s="63" t="s">
        <v>67</v>
      </c>
    </row>
    <row r="72" spans="1:7" hidden="1">
      <c r="A72" s="13" t="s">
        <v>219</v>
      </c>
      <c r="B72" s="14" t="s">
        <v>8</v>
      </c>
      <c r="C72" s="14">
        <v>1</v>
      </c>
      <c r="D72" s="15">
        <f>D59</f>
        <v>1330.73</v>
      </c>
      <c r="E72" s="15">
        <f>C72*D72</f>
        <v>1330.73</v>
      </c>
    </row>
    <row r="73" spans="1:7" hidden="1">
      <c r="A73" s="16" t="s">
        <v>7</v>
      </c>
      <c r="B73" s="17" t="s">
        <v>100</v>
      </c>
      <c r="C73" s="88"/>
      <c r="D73" s="18"/>
      <c r="E73" s="18"/>
    </row>
    <row r="74" spans="1:7" hidden="1">
      <c r="A74" s="16"/>
      <c r="B74" s="17" t="s">
        <v>104</v>
      </c>
      <c r="C74" s="120">
        <f>C73*8/7</f>
        <v>0</v>
      </c>
      <c r="D74" s="18">
        <f>D72/220*0.2</f>
        <v>1.2097545454545455</v>
      </c>
      <c r="E74" s="18">
        <f>C73*D74</f>
        <v>0</v>
      </c>
    </row>
    <row r="75" spans="1:7" hidden="1">
      <c r="A75" s="16" t="s">
        <v>36</v>
      </c>
      <c r="B75" s="17" t="s">
        <v>0</v>
      </c>
      <c r="C75" s="88"/>
      <c r="D75" s="18">
        <f>D72/220*2</f>
        <v>12.097545454545454</v>
      </c>
      <c r="E75" s="18">
        <f>C75*D75</f>
        <v>0</v>
      </c>
      <c r="G75" s="10" t="s">
        <v>253</v>
      </c>
    </row>
    <row r="76" spans="1:7" hidden="1">
      <c r="A76" s="16" t="s">
        <v>101</v>
      </c>
      <c r="B76" s="17" t="s">
        <v>100</v>
      </c>
      <c r="C76" s="88"/>
      <c r="D76" s="18"/>
      <c r="E76" s="18"/>
      <c r="G76" s="10" t="s">
        <v>254</v>
      </c>
    </row>
    <row r="77" spans="1:7" hidden="1">
      <c r="A77" s="16"/>
      <c r="B77" s="17" t="s">
        <v>104</v>
      </c>
      <c r="C77" s="120">
        <f>C76*8/7</f>
        <v>0</v>
      </c>
      <c r="D77" s="18">
        <f>D72/220*2*1.2</f>
        <v>14.517054545454544</v>
      </c>
      <c r="E77" s="18">
        <f>C77*D77</f>
        <v>0</v>
      </c>
      <c r="G77" s="10" t="s">
        <v>254</v>
      </c>
    </row>
    <row r="78" spans="1:7" hidden="1">
      <c r="A78" s="16" t="s">
        <v>37</v>
      </c>
      <c r="B78" s="17" t="s">
        <v>0</v>
      </c>
      <c r="C78" s="88"/>
      <c r="D78" s="18">
        <f>D72/220*1.5</f>
        <v>9.0731590909090905</v>
      </c>
      <c r="E78" s="18">
        <f>C78*D78</f>
        <v>0</v>
      </c>
      <c r="G78" s="10" t="s">
        <v>255</v>
      </c>
    </row>
    <row r="79" spans="1:7" hidden="1">
      <c r="A79" s="16" t="s">
        <v>221</v>
      </c>
      <c r="B79" s="17" t="s">
        <v>100</v>
      </c>
      <c r="C79" s="88"/>
      <c r="D79" s="18"/>
      <c r="E79" s="18"/>
      <c r="G79" s="10" t="s">
        <v>256</v>
      </c>
    </row>
    <row r="80" spans="1:7" hidden="1">
      <c r="A80" s="16"/>
      <c r="B80" s="17" t="s">
        <v>104</v>
      </c>
      <c r="C80" s="18">
        <f>C79*8/7</f>
        <v>0</v>
      </c>
      <c r="D80" s="18">
        <f>D72/220*1.5*1.2</f>
        <v>10.887790909090908</v>
      </c>
      <c r="E80" s="18">
        <f>C80*D80</f>
        <v>0</v>
      </c>
      <c r="G80" s="10" t="s">
        <v>256</v>
      </c>
    </row>
    <row r="81" spans="1:7" ht="13.2" hidden="1" customHeight="1">
      <c r="A81" s="16" t="s">
        <v>223</v>
      </c>
      <c r="B81" s="17" t="s">
        <v>35</v>
      </c>
      <c r="D81" s="18">
        <f>63/302*(SUM(E75:E80))</f>
        <v>0</v>
      </c>
      <c r="E81" s="18">
        <f>D81</f>
        <v>0</v>
      </c>
      <c r="G81" s="10" t="s">
        <v>222</v>
      </c>
    </row>
    <row r="82" spans="1:7" hidden="1">
      <c r="A82" s="16" t="s">
        <v>1</v>
      </c>
      <c r="B82" s="17" t="s">
        <v>2</v>
      </c>
      <c r="C82" s="17">
        <f>+C63</f>
        <v>40</v>
      </c>
      <c r="D82" s="83">
        <f>SUM(E72:E81)</f>
        <v>1330.73</v>
      </c>
      <c r="E82" s="18">
        <f>C82*D82/100</f>
        <v>532.29199999999992</v>
      </c>
    </row>
    <row r="83" spans="1:7" hidden="1">
      <c r="A83" s="116" t="s">
        <v>3</v>
      </c>
      <c r="B83" s="117"/>
      <c r="C83" s="117"/>
      <c r="D83" s="118"/>
      <c r="E83" s="119">
        <f>SUM(E72:E82)</f>
        <v>1863.0219999999999</v>
      </c>
    </row>
    <row r="84" spans="1:7" hidden="1">
      <c r="A84" s="16" t="s">
        <v>4</v>
      </c>
      <c r="B84" s="17" t="s">
        <v>2</v>
      </c>
      <c r="C84" s="141">
        <f>'5.Enc Sociais'!$C$38*100</f>
        <v>72.231660000000005</v>
      </c>
      <c r="D84" s="18">
        <f>E83</f>
        <v>1863.0219999999999</v>
      </c>
      <c r="E84" s="18">
        <f>D84*C84/100</f>
        <v>1345.6917167652</v>
      </c>
    </row>
    <row r="85" spans="1:7" hidden="1">
      <c r="A85" s="116" t="s">
        <v>74</v>
      </c>
      <c r="B85" s="117"/>
      <c r="C85" s="117"/>
      <c r="D85" s="118"/>
      <c r="E85" s="119">
        <f>E83+E84</f>
        <v>3208.7137167651999</v>
      </c>
    </row>
    <row r="86" spans="1:7" hidden="1">
      <c r="A86" s="16" t="s">
        <v>5</v>
      </c>
      <c r="B86" s="17" t="s">
        <v>6</v>
      </c>
      <c r="C86" s="86"/>
      <c r="D86" s="18">
        <f>E85</f>
        <v>3208.7137167651999</v>
      </c>
      <c r="E86" s="18">
        <f>C86*D86</f>
        <v>0</v>
      </c>
    </row>
    <row r="87" spans="1:7" ht="13.8" hidden="1" thickBot="1">
      <c r="D87" s="123" t="s">
        <v>197</v>
      </c>
      <c r="E87" s="50">
        <f>$B$53</f>
        <v>0.61363636363636365</v>
      </c>
      <c r="F87" s="124">
        <f>E86*E87</f>
        <v>0</v>
      </c>
    </row>
    <row r="88" spans="1:7" ht="11.25" customHeight="1"/>
    <row r="89" spans="1:7" ht="13.8" thickBot="1">
      <c r="A89" s="52" t="s">
        <v>103</v>
      </c>
    </row>
    <row r="90" spans="1:7" s="12" customFormat="1" ht="13.2" customHeight="1" thickBot="1">
      <c r="A90" s="60" t="s">
        <v>64</v>
      </c>
      <c r="B90" s="61" t="s">
        <v>65</v>
      </c>
      <c r="C90" s="61" t="s">
        <v>42</v>
      </c>
      <c r="D90" s="62" t="s">
        <v>237</v>
      </c>
      <c r="E90" s="62" t="s">
        <v>66</v>
      </c>
      <c r="F90" s="63" t="s">
        <v>67</v>
      </c>
      <c r="G90" s="10"/>
    </row>
    <row r="91" spans="1:7">
      <c r="A91" s="308" t="s">
        <v>296</v>
      </c>
      <c r="B91" s="14" t="s">
        <v>8</v>
      </c>
      <c r="C91" s="14">
        <v>1</v>
      </c>
      <c r="D91" s="325">
        <v>1591.27</v>
      </c>
      <c r="E91" s="15">
        <f>C91*D91</f>
        <v>1591.27</v>
      </c>
    </row>
    <row r="92" spans="1:7">
      <c r="A92" s="308" t="s">
        <v>297</v>
      </c>
      <c r="B92" s="14" t="s">
        <v>8</v>
      </c>
      <c r="C92" s="14">
        <v>1</v>
      </c>
      <c r="D92" s="87">
        <v>1045</v>
      </c>
      <c r="E92" s="15"/>
    </row>
    <row r="93" spans="1:7" hidden="1">
      <c r="A93" s="16" t="s">
        <v>36</v>
      </c>
      <c r="B93" s="17" t="s">
        <v>0</v>
      </c>
      <c r="C93" s="88"/>
      <c r="D93" s="18">
        <f>D91/220*2</f>
        <v>14.466090909090909</v>
      </c>
      <c r="E93" s="18">
        <f>C93*D93</f>
        <v>0</v>
      </c>
      <c r="G93" s="10" t="s">
        <v>253</v>
      </c>
    </row>
    <row r="94" spans="1:7" hidden="1">
      <c r="A94" s="16" t="s">
        <v>37</v>
      </c>
      <c r="B94" s="17" t="s">
        <v>0</v>
      </c>
      <c r="C94" s="88"/>
      <c r="D94" s="18">
        <f>D91/220*1.5</f>
        <v>10.849568181818182</v>
      </c>
      <c r="E94" s="18">
        <f>C94*D94</f>
        <v>0</v>
      </c>
      <c r="G94" s="10" t="s">
        <v>255</v>
      </c>
    </row>
    <row r="95" spans="1:7" ht="13.2" hidden="1" customHeight="1">
      <c r="A95" s="16" t="s">
        <v>223</v>
      </c>
      <c r="B95" s="17" t="s">
        <v>35</v>
      </c>
      <c r="D95" s="18">
        <f>63/302*(SUM(E93:E94))</f>
        <v>0</v>
      </c>
      <c r="E95" s="18">
        <f>D95</f>
        <v>0</v>
      </c>
      <c r="G95" s="10" t="s">
        <v>222</v>
      </c>
    </row>
    <row r="96" spans="1:7">
      <c r="A96" s="16" t="s">
        <v>220</v>
      </c>
      <c r="B96" s="17"/>
      <c r="C96" s="90">
        <v>1</v>
      </c>
      <c r="D96" s="18"/>
      <c r="E96" s="18"/>
    </row>
    <row r="97" spans="1:7">
      <c r="A97" s="16" t="s">
        <v>1</v>
      </c>
      <c r="B97" s="17" t="s">
        <v>2</v>
      </c>
      <c r="C97" s="86">
        <v>20</v>
      </c>
      <c r="D97" s="83">
        <f>IF(C96=2,SUM(E91:E95),IF(C96=1,(SUM(E91:E95))*D92/D91,0))</f>
        <v>1045</v>
      </c>
      <c r="E97" s="18">
        <f>C97*D97/100</f>
        <v>209</v>
      </c>
    </row>
    <row r="98" spans="1:7" s="11" customFormat="1">
      <c r="A98" s="103" t="s">
        <v>3</v>
      </c>
      <c r="B98" s="117"/>
      <c r="C98" s="117"/>
      <c r="D98" s="118"/>
      <c r="E98" s="105">
        <f>SUM(E91:E97)</f>
        <v>1800.27</v>
      </c>
      <c r="F98" s="44"/>
      <c r="G98" s="44"/>
    </row>
    <row r="99" spans="1:7">
      <c r="A99" s="16" t="s">
        <v>4</v>
      </c>
      <c r="B99" s="17" t="s">
        <v>2</v>
      </c>
      <c r="C99" s="141">
        <f>'5.Enc Sociais'!$C$38*100</f>
        <v>72.231660000000005</v>
      </c>
      <c r="D99" s="18">
        <f>E98</f>
        <v>1800.27</v>
      </c>
      <c r="E99" s="18">
        <f>D99*C99/100</f>
        <v>1300.364905482</v>
      </c>
    </row>
    <row r="100" spans="1:7" s="11" customFormat="1">
      <c r="A100" s="103" t="s">
        <v>257</v>
      </c>
      <c r="B100" s="268"/>
      <c r="C100" s="268"/>
      <c r="D100" s="269"/>
      <c r="E100" s="105">
        <f>E98+E99</f>
        <v>3100.6349054820002</v>
      </c>
      <c r="F100" s="44"/>
      <c r="G100" s="44"/>
    </row>
    <row r="101" spans="1:7" ht="13.8" thickBot="1">
      <c r="A101" s="16" t="s">
        <v>5</v>
      </c>
      <c r="B101" s="17" t="s">
        <v>6</v>
      </c>
      <c r="C101" s="86">
        <v>1</v>
      </c>
      <c r="D101" s="18">
        <f>E100</f>
        <v>3100.6349054820002</v>
      </c>
      <c r="E101" s="18">
        <f>C101*D101</f>
        <v>3100.6349054820002</v>
      </c>
    </row>
    <row r="102" spans="1:7" ht="13.8" thickBot="1">
      <c r="A102" s="7" t="s">
        <v>438</v>
      </c>
      <c r="D102" s="123" t="s">
        <v>197</v>
      </c>
      <c r="E102" s="327">
        <f>Horários!F38/Horários!F39</f>
        <v>0.68181818181818177</v>
      </c>
      <c r="F102" s="124">
        <f>E101*E102</f>
        <v>2114.0692537377272</v>
      </c>
    </row>
    <row r="103" spans="1:7" ht="11.25" customHeight="1">
      <c r="A103" s="7" t="s">
        <v>445</v>
      </c>
    </row>
    <row r="104" spans="1:7" ht="11.25" customHeight="1">
      <c r="A104" s="7"/>
    </row>
    <row r="105" spans="1:7" ht="13.8" thickBot="1">
      <c r="A105" s="7" t="s">
        <v>403</v>
      </c>
    </row>
    <row r="106" spans="1:7" ht="13.8" thickBot="1">
      <c r="A106" s="60" t="s">
        <v>64</v>
      </c>
      <c r="B106" s="61" t="s">
        <v>65</v>
      </c>
      <c r="C106" s="61" t="s">
        <v>42</v>
      </c>
      <c r="D106" s="62" t="s">
        <v>237</v>
      </c>
      <c r="E106" s="62" t="s">
        <v>66</v>
      </c>
      <c r="F106" s="63" t="s">
        <v>67</v>
      </c>
    </row>
    <row r="107" spans="1:7">
      <c r="A107" s="308" t="s">
        <v>296</v>
      </c>
      <c r="B107" s="14" t="s">
        <v>8</v>
      </c>
      <c r="C107" s="14">
        <v>1</v>
      </c>
      <c r="D107" s="15">
        <v>1800</v>
      </c>
      <c r="E107" s="15">
        <f>C107*D107</f>
        <v>1800</v>
      </c>
    </row>
    <row r="108" spans="1:7" hidden="1">
      <c r="A108" s="308" t="s">
        <v>297</v>
      </c>
      <c r="B108" s="14" t="s">
        <v>8</v>
      </c>
      <c r="C108" s="14">
        <v>1</v>
      </c>
      <c r="D108" s="18">
        <f>D92</f>
        <v>1045</v>
      </c>
      <c r="E108" s="18"/>
    </row>
    <row r="109" spans="1:7" hidden="1">
      <c r="A109" s="16" t="s">
        <v>7</v>
      </c>
      <c r="B109" s="17" t="s">
        <v>100</v>
      </c>
      <c r="C109" s="88"/>
      <c r="D109" s="16"/>
      <c r="E109" s="16"/>
    </row>
    <row r="110" spans="1:7" hidden="1">
      <c r="A110" s="16"/>
      <c r="B110" s="17" t="s">
        <v>104</v>
      </c>
      <c r="C110" s="18">
        <f>C109*8/7</f>
        <v>0</v>
      </c>
      <c r="D110" s="18">
        <f>D107/220*0.2</f>
        <v>1.6363636363636365</v>
      </c>
      <c r="E110" s="18">
        <f>C109*D110</f>
        <v>0</v>
      </c>
    </row>
    <row r="111" spans="1:7" hidden="1">
      <c r="A111" s="16" t="s">
        <v>36</v>
      </c>
      <c r="B111" s="17" t="s">
        <v>0</v>
      </c>
      <c r="C111" s="88"/>
      <c r="D111" s="18">
        <f>D107/220*2</f>
        <v>16.363636363636363</v>
      </c>
      <c r="E111" s="18">
        <f>C111*D111</f>
        <v>0</v>
      </c>
      <c r="G111" s="10" t="s">
        <v>253</v>
      </c>
    </row>
    <row r="112" spans="1:7" hidden="1">
      <c r="A112" s="16" t="s">
        <v>101</v>
      </c>
      <c r="B112" s="17" t="s">
        <v>100</v>
      </c>
      <c r="C112" s="88"/>
      <c r="D112" s="18"/>
      <c r="E112" s="18"/>
      <c r="G112" s="10" t="s">
        <v>254</v>
      </c>
    </row>
    <row r="113" spans="1:7" hidden="1">
      <c r="A113" s="16"/>
      <c r="B113" s="17" t="s">
        <v>104</v>
      </c>
      <c r="C113" s="18">
        <f>C112*8/7</f>
        <v>0</v>
      </c>
      <c r="D113" s="18">
        <f>D107/220*2*1.2</f>
        <v>19.636363636363637</v>
      </c>
      <c r="E113" s="18">
        <f>C113*D113</f>
        <v>0</v>
      </c>
      <c r="G113" s="10" t="s">
        <v>254</v>
      </c>
    </row>
    <row r="114" spans="1:7" hidden="1">
      <c r="A114" s="16" t="s">
        <v>37</v>
      </c>
      <c r="B114" s="17" t="s">
        <v>0</v>
      </c>
      <c r="C114" s="88"/>
      <c r="D114" s="18">
        <f>D107/220*1.5</f>
        <v>12.272727272727273</v>
      </c>
      <c r="E114" s="18">
        <f>C114*D114</f>
        <v>0</v>
      </c>
      <c r="G114" s="10" t="s">
        <v>255</v>
      </c>
    </row>
    <row r="115" spans="1:7" hidden="1">
      <c r="A115" s="16" t="s">
        <v>221</v>
      </c>
      <c r="B115" s="17" t="s">
        <v>100</v>
      </c>
      <c r="C115" s="88"/>
      <c r="D115" s="18"/>
      <c r="E115" s="18"/>
      <c r="G115" s="10" t="s">
        <v>256</v>
      </c>
    </row>
    <row r="116" spans="1:7" hidden="1">
      <c r="A116" s="16"/>
      <c r="B116" s="17" t="s">
        <v>104</v>
      </c>
      <c r="C116" s="18">
        <f>C115*8/7</f>
        <v>0</v>
      </c>
      <c r="D116" s="18">
        <f>D107/220*1.5*1.2</f>
        <v>14.727272727272727</v>
      </c>
      <c r="E116" s="18">
        <f>C116*D116</f>
        <v>0</v>
      </c>
      <c r="G116" s="10" t="s">
        <v>256</v>
      </c>
    </row>
    <row r="117" spans="1:7" ht="13.2" hidden="1" customHeight="1">
      <c r="A117" s="16" t="s">
        <v>223</v>
      </c>
      <c r="B117" s="17" t="s">
        <v>35</v>
      </c>
      <c r="D117" s="18">
        <f>63/302*(SUM(E111:E116))</f>
        <v>0</v>
      </c>
      <c r="E117" s="18">
        <f>D117</f>
        <v>0</v>
      </c>
      <c r="G117" s="10" t="s">
        <v>222</v>
      </c>
    </row>
    <row r="118" spans="1:7" hidden="1">
      <c r="A118" s="16" t="s">
        <v>220</v>
      </c>
      <c r="B118" s="17"/>
      <c r="C118" s="90"/>
      <c r="D118" s="18"/>
      <c r="E118" s="18"/>
    </row>
    <row r="119" spans="1:7" hidden="1">
      <c r="A119" s="16" t="s">
        <v>1</v>
      </c>
      <c r="B119" s="17" t="s">
        <v>2</v>
      </c>
      <c r="C119" s="83">
        <f>+C97</f>
        <v>20</v>
      </c>
      <c r="D119" s="83">
        <f>IF(C118=2,SUM(E107:E117),IF(C118=1,SUM(E107:E117)*D108/D107,0))</f>
        <v>0</v>
      </c>
      <c r="E119" s="18">
        <f>C119*D119/100</f>
        <v>0</v>
      </c>
    </row>
    <row r="120" spans="1:7" s="11" customFormat="1">
      <c r="A120" s="116" t="s">
        <v>3</v>
      </c>
      <c r="B120" s="117"/>
      <c r="C120" s="117"/>
      <c r="D120" s="118"/>
      <c r="E120" s="119">
        <f>SUM(E107:E119)</f>
        <v>1800</v>
      </c>
      <c r="F120" s="44"/>
      <c r="G120" s="44"/>
    </row>
    <row r="121" spans="1:7">
      <c r="A121" s="16" t="s">
        <v>4</v>
      </c>
      <c r="B121" s="17" t="s">
        <v>2</v>
      </c>
      <c r="C121" s="141">
        <f>'5.Enc Sociais'!$C$38*100</f>
        <v>72.231660000000005</v>
      </c>
      <c r="D121" s="18">
        <f>E120</f>
        <v>1800</v>
      </c>
      <c r="E121" s="18">
        <f>D121*C121/100</f>
        <v>1300.1698800000001</v>
      </c>
    </row>
    <row r="122" spans="1:7" s="11" customFormat="1">
      <c r="A122" s="116" t="s">
        <v>257</v>
      </c>
      <c r="B122" s="117"/>
      <c r="C122" s="117"/>
      <c r="D122" s="118"/>
      <c r="E122" s="119">
        <f>E120+E121</f>
        <v>3100.1698800000004</v>
      </c>
      <c r="F122" s="44"/>
      <c r="G122" s="44"/>
    </row>
    <row r="123" spans="1:7" ht="13.8" thickBot="1">
      <c r="A123" s="16" t="s">
        <v>5</v>
      </c>
      <c r="B123" s="17" t="s">
        <v>6</v>
      </c>
      <c r="C123" s="86">
        <v>1</v>
      </c>
      <c r="D123" s="18">
        <f>E122</f>
        <v>3100.1698800000004</v>
      </c>
      <c r="E123" s="18">
        <f>C123*D123</f>
        <v>3100.1698800000004</v>
      </c>
    </row>
    <row r="124" spans="1:7" ht="13.8" thickBot="1">
      <c r="A124" s="11" t="s">
        <v>452</v>
      </c>
      <c r="D124" s="123" t="s">
        <v>197</v>
      </c>
      <c r="E124" s="327">
        <f>6/44</f>
        <v>0.13636363636363635</v>
      </c>
      <c r="F124" s="124">
        <f>E123*E124</f>
        <v>422.7504381818182</v>
      </c>
    </row>
    <row r="125" spans="1:7" ht="11.25" customHeight="1">
      <c r="G125" s="9"/>
    </row>
    <row r="126" spans="1:7" ht="13.8" thickBot="1">
      <c r="A126" s="9" t="s">
        <v>105</v>
      </c>
      <c r="B126" s="93"/>
      <c r="D126" s="9"/>
      <c r="E126" s="348"/>
      <c r="G126" s="9"/>
    </row>
    <row r="127" spans="1:7" ht="13.8" thickBot="1">
      <c r="A127" s="60" t="s">
        <v>64</v>
      </c>
      <c r="B127" s="61" t="s">
        <v>65</v>
      </c>
      <c r="C127" s="61" t="s">
        <v>42</v>
      </c>
      <c r="D127" s="62" t="s">
        <v>237</v>
      </c>
      <c r="E127" s="62" t="s">
        <v>66</v>
      </c>
      <c r="F127" s="63" t="s">
        <v>67</v>
      </c>
      <c r="G127" s="9"/>
    </row>
    <row r="128" spans="1:7">
      <c r="A128" s="16" t="s">
        <v>93</v>
      </c>
      <c r="B128" s="17" t="s">
        <v>35</v>
      </c>
      <c r="C128" s="94">
        <v>1</v>
      </c>
      <c r="D128" s="92">
        <v>3</v>
      </c>
      <c r="E128" s="18"/>
      <c r="G128" s="9"/>
    </row>
    <row r="129" spans="1:7">
      <c r="A129" s="16" t="s">
        <v>94</v>
      </c>
      <c r="B129" s="17" t="s">
        <v>95</v>
      </c>
      <c r="C129" s="91">
        <v>17</v>
      </c>
      <c r="D129" s="18"/>
      <c r="E129" s="18"/>
      <c r="G129" s="9"/>
    </row>
    <row r="130" spans="1:7">
      <c r="A130" s="16" t="s">
        <v>75</v>
      </c>
      <c r="B130" s="17" t="s">
        <v>9</v>
      </c>
      <c r="C130" s="37">
        <f>$C$129*2*(C67+C86)</f>
        <v>68</v>
      </c>
      <c r="D130" s="15">
        <f>IFERROR((($C$129*2*$D$128)-(E59*0.06*C129/26))/($C$129*2),"-")</f>
        <v>1.4645423076923074</v>
      </c>
      <c r="E130" s="18">
        <f>IFERROR(C130*D130,"-")</f>
        <v>99.58887692307691</v>
      </c>
      <c r="G130" s="9"/>
    </row>
    <row r="131" spans="1:7" ht="13.8" thickBot="1">
      <c r="A131" s="13" t="s">
        <v>46</v>
      </c>
      <c r="B131" s="14" t="s">
        <v>9</v>
      </c>
      <c r="C131" s="37">
        <f>$C$129*2*(C101)</f>
        <v>34</v>
      </c>
      <c r="D131" s="15">
        <f>IFERROR((($C$129*2*$D$128)-(E91*0.06*C129/26))/($C$129*2),"-")</f>
        <v>1.1639192307692308</v>
      </c>
      <c r="E131" s="15">
        <f>IFERROR(C131*D131,"-")</f>
        <v>39.573253846153847</v>
      </c>
      <c r="G131" s="9"/>
    </row>
    <row r="132" spans="1:7" ht="13.8" thickBot="1">
      <c r="F132" s="22">
        <f>SUM(E130:E131)</f>
        <v>139.16213076923077</v>
      </c>
      <c r="G132" s="9"/>
    </row>
    <row r="133" spans="1:7" ht="11.25" customHeight="1">
      <c r="G133" s="9"/>
    </row>
    <row r="134" spans="1:7" ht="13.8" thickBot="1">
      <c r="A134" s="91" t="s">
        <v>124</v>
      </c>
      <c r="F134" s="23"/>
      <c r="G134" s="9"/>
    </row>
    <row r="135" spans="1:7" ht="13.8" thickBot="1">
      <c r="A135" s="60" t="s">
        <v>64</v>
      </c>
      <c r="B135" s="61" t="s">
        <v>65</v>
      </c>
      <c r="C135" s="61" t="s">
        <v>42</v>
      </c>
      <c r="D135" s="62" t="s">
        <v>237</v>
      </c>
      <c r="E135" s="62" t="s">
        <v>66</v>
      </c>
      <c r="F135" s="63" t="s">
        <v>67</v>
      </c>
      <c r="G135" s="9"/>
    </row>
    <row r="136" spans="1:7">
      <c r="A136" s="16" t="str">
        <f>+A130</f>
        <v>Coletor</v>
      </c>
      <c r="B136" s="17" t="s">
        <v>10</v>
      </c>
      <c r="C136" s="102">
        <f>C129*(E43+E44)</f>
        <v>34</v>
      </c>
      <c r="D136" s="95">
        <f>17.41*0.81</f>
        <v>14.102100000000002</v>
      </c>
      <c r="E136" s="50">
        <f>C136*D136</f>
        <v>479.47140000000007</v>
      </c>
      <c r="F136" s="23"/>
      <c r="G136" s="9"/>
    </row>
    <row r="137" spans="1:7">
      <c r="A137" s="344" t="s">
        <v>46</v>
      </c>
      <c r="B137" s="17" t="s">
        <v>10</v>
      </c>
      <c r="C137" s="102">
        <f>C129*(E45)</f>
        <v>17</v>
      </c>
      <c r="D137" s="95">
        <f>11.7*0.8</f>
        <v>9.36</v>
      </c>
      <c r="E137" s="50">
        <f>C137*D137</f>
        <v>159.12</v>
      </c>
      <c r="F137" s="23"/>
      <c r="G137" s="9"/>
    </row>
    <row r="138" spans="1:7" ht="13.8" thickBot="1">
      <c r="A138" s="344" t="s">
        <v>404</v>
      </c>
      <c r="B138" s="17" t="s">
        <v>10</v>
      </c>
      <c r="C138" s="102">
        <v>4</v>
      </c>
      <c r="D138" s="95">
        <f>17.41*0.81</f>
        <v>14.102100000000002</v>
      </c>
      <c r="E138" s="50">
        <f>C138*D138</f>
        <v>56.408400000000007</v>
      </c>
      <c r="F138" s="23"/>
      <c r="G138" s="9"/>
    </row>
    <row r="139" spans="1:7" ht="13.8" thickBot="1">
      <c r="F139" s="22">
        <f>SUM(E136:E138)</f>
        <v>694.99980000000005</v>
      </c>
      <c r="G139" s="9"/>
    </row>
    <row r="140" spans="1:7">
      <c r="G140" s="9"/>
    </row>
    <row r="141" spans="1:7" ht="13.8" thickBot="1">
      <c r="A141" s="9" t="s">
        <v>125</v>
      </c>
      <c r="F141" s="23"/>
      <c r="G141" s="9"/>
    </row>
    <row r="142" spans="1:7" ht="13.8" thickBot="1">
      <c r="A142" s="60" t="s">
        <v>64</v>
      </c>
      <c r="B142" s="61" t="s">
        <v>65</v>
      </c>
      <c r="C142" s="61" t="s">
        <v>42</v>
      </c>
      <c r="D142" s="62" t="s">
        <v>237</v>
      </c>
      <c r="E142" s="62" t="s">
        <v>66</v>
      </c>
      <c r="F142" s="63" t="s">
        <v>67</v>
      </c>
      <c r="G142" s="9"/>
    </row>
    <row r="143" spans="1:7" hidden="1">
      <c r="A143" s="16" t="str">
        <f>+A136</f>
        <v>Coletor</v>
      </c>
      <c r="B143" s="17" t="s">
        <v>10</v>
      </c>
      <c r="C143" s="102">
        <f>E43+E44</f>
        <v>2</v>
      </c>
      <c r="D143" s="95"/>
      <c r="E143" s="50">
        <f>C143*D143</f>
        <v>0</v>
      </c>
      <c r="F143" s="23"/>
      <c r="G143" s="9"/>
    </row>
    <row r="144" spans="1:7" ht="13.8" thickBot="1">
      <c r="A144" s="16" t="str">
        <f>A137</f>
        <v>Motorista</v>
      </c>
      <c r="B144" s="17" t="s">
        <v>10</v>
      </c>
      <c r="C144" s="102">
        <f>E45</f>
        <v>1</v>
      </c>
      <c r="D144" s="95">
        <f>88.75*0.8</f>
        <v>71</v>
      </c>
      <c r="E144" s="50">
        <f>C144*D144</f>
        <v>71</v>
      </c>
      <c r="F144" s="23"/>
      <c r="G144" s="9"/>
    </row>
    <row r="145" spans="1:7" ht="13.8" thickBot="1">
      <c r="D145" s="123" t="s">
        <v>197</v>
      </c>
      <c r="E145" s="327">
        <f>E102</f>
        <v>0.68181818181818177</v>
      </c>
      <c r="F145" s="22">
        <f>SUM(E143:E144)*E145</f>
        <v>48.409090909090907</v>
      </c>
      <c r="G145" s="9"/>
    </row>
    <row r="146" spans="1:7">
      <c r="D146" s="123"/>
      <c r="E146" s="516"/>
      <c r="G146" s="9"/>
    </row>
    <row r="147" spans="1:7" ht="13.8" thickBot="1">
      <c r="A147" s="7" t="s">
        <v>451</v>
      </c>
      <c r="B147" s="7"/>
      <c r="C147" s="7"/>
      <c r="D147" s="361"/>
      <c r="E147" s="361"/>
      <c r="F147" s="23"/>
      <c r="G147" s="9"/>
    </row>
    <row r="148" spans="1:7" ht="13.8" thickBot="1">
      <c r="A148" s="60" t="s">
        <v>64</v>
      </c>
      <c r="B148" s="61" t="s">
        <v>65</v>
      </c>
      <c r="C148" s="61" t="s">
        <v>42</v>
      </c>
      <c r="D148" s="62" t="s">
        <v>237</v>
      </c>
      <c r="E148" s="62" t="s">
        <v>66</v>
      </c>
      <c r="F148" s="63" t="s">
        <v>67</v>
      </c>
      <c r="G148" s="9"/>
    </row>
    <row r="149" spans="1:7" ht="13.8" thickBot="1">
      <c r="A149" s="344" t="s">
        <v>450</v>
      </c>
      <c r="B149" s="513" t="s">
        <v>10</v>
      </c>
      <c r="C149" s="517">
        <v>2</v>
      </c>
      <c r="D149" s="518">
        <v>15.62</v>
      </c>
      <c r="E149" s="519">
        <f>C149*D149</f>
        <v>31.24</v>
      </c>
      <c r="F149" s="23"/>
      <c r="G149" s="9"/>
    </row>
    <row r="150" spans="1:7" ht="13.8" hidden="1" thickBot="1">
      <c r="A150" s="344"/>
      <c r="B150" s="513" t="s">
        <v>10</v>
      </c>
      <c r="C150" s="517">
        <v>0</v>
      </c>
      <c r="D150" s="518">
        <v>0</v>
      </c>
      <c r="E150" s="519"/>
      <c r="F150" s="23"/>
      <c r="G150" s="9"/>
    </row>
    <row r="151" spans="1:7" ht="13.8" thickBot="1">
      <c r="A151" s="520"/>
      <c r="B151" s="520"/>
      <c r="C151" s="7"/>
      <c r="D151" s="413" t="s">
        <v>449</v>
      </c>
      <c r="E151" s="414">
        <f>E68</f>
        <v>0.61363636363636365</v>
      </c>
      <c r="F151" s="521">
        <f>SUM(E149:E150)*E151</f>
        <v>19.169999999999998</v>
      </c>
      <c r="G151" s="9"/>
    </row>
    <row r="152" spans="1:7" ht="13.8" thickBot="1">
      <c r="D152" s="123"/>
      <c r="E152" s="516"/>
      <c r="G152" s="9"/>
    </row>
    <row r="153" spans="1:7" ht="13.8" thickBot="1">
      <c r="A153" s="24" t="s">
        <v>96</v>
      </c>
      <c r="B153" s="25"/>
      <c r="C153" s="25"/>
      <c r="D153" s="26"/>
      <c r="E153" s="27"/>
      <c r="F153" s="22">
        <f>F145+F139+F132+F124+F102+F87+F68+F151</f>
        <v>7376.5275478097028</v>
      </c>
      <c r="G153" s="9"/>
    </row>
    <row r="155" spans="1:7">
      <c r="A155" s="11" t="s">
        <v>47</v>
      </c>
      <c r="G155" s="9"/>
    </row>
    <row r="156" spans="1:7" ht="11.25" customHeight="1">
      <c r="G156" s="9"/>
    </row>
    <row r="157" spans="1:7" ht="13.95" customHeight="1">
      <c r="A157" s="9" t="s">
        <v>199</v>
      </c>
      <c r="G157" s="9"/>
    </row>
    <row r="158" spans="1:7" ht="11.25" customHeight="1" thickBot="1">
      <c r="G158" s="9"/>
    </row>
    <row r="159" spans="1:7" ht="27.75" customHeight="1" thickBot="1">
      <c r="A159" s="60" t="s">
        <v>64</v>
      </c>
      <c r="B159" s="61" t="s">
        <v>65</v>
      </c>
      <c r="C159" s="270" t="s">
        <v>259</v>
      </c>
      <c r="D159" s="62" t="s">
        <v>237</v>
      </c>
      <c r="E159" s="62" t="s">
        <v>66</v>
      </c>
      <c r="F159" s="63" t="s">
        <v>67</v>
      </c>
      <c r="G159" s="9"/>
    </row>
    <row r="160" spans="1:7">
      <c r="A160" s="13" t="s">
        <v>68</v>
      </c>
      <c r="B160" s="14" t="s">
        <v>10</v>
      </c>
      <c r="C160" s="342">
        <v>12</v>
      </c>
      <c r="D160" s="325">
        <v>110</v>
      </c>
      <c r="E160" s="15">
        <f>IFERROR(D160/C160,0)</f>
        <v>9.1666666666666661</v>
      </c>
      <c r="G160" s="9"/>
    </row>
    <row r="161" spans="1:7" ht="13.2" customHeight="1">
      <c r="A161" s="16" t="s">
        <v>30</v>
      </c>
      <c r="B161" s="17" t="s">
        <v>10</v>
      </c>
      <c r="C161" s="342">
        <v>4</v>
      </c>
      <c r="D161" s="341">
        <v>35</v>
      </c>
      <c r="E161" s="15">
        <f t="shared" ref="E161:E169" si="2">IFERROR(D161/C161,0)</f>
        <v>8.75</v>
      </c>
      <c r="G161" s="9"/>
    </row>
    <row r="162" spans="1:7">
      <c r="A162" s="16" t="s">
        <v>31</v>
      </c>
      <c r="B162" s="17" t="s">
        <v>10</v>
      </c>
      <c r="C162" s="342">
        <v>2</v>
      </c>
      <c r="D162" s="341">
        <v>28</v>
      </c>
      <c r="E162" s="15">
        <f t="shared" si="2"/>
        <v>14</v>
      </c>
      <c r="G162" s="9"/>
    </row>
    <row r="163" spans="1:7" ht="13.2" customHeight="1">
      <c r="A163" s="16" t="s">
        <v>32</v>
      </c>
      <c r="B163" s="17" t="s">
        <v>10</v>
      </c>
      <c r="C163" s="342">
        <v>4</v>
      </c>
      <c r="D163" s="341">
        <v>18</v>
      </c>
      <c r="E163" s="15">
        <f t="shared" si="2"/>
        <v>4.5</v>
      </c>
      <c r="G163" s="9"/>
    </row>
    <row r="164" spans="1:7" ht="13.95" customHeight="1">
      <c r="A164" s="16" t="s">
        <v>70</v>
      </c>
      <c r="B164" s="17" t="s">
        <v>50</v>
      </c>
      <c r="C164" s="342">
        <v>4</v>
      </c>
      <c r="D164" s="341">
        <v>60</v>
      </c>
      <c r="E164" s="15">
        <f t="shared" si="2"/>
        <v>15</v>
      </c>
      <c r="G164" s="9"/>
    </row>
    <row r="165" spans="1:7" ht="13.2" customHeight="1">
      <c r="A165" s="16" t="s">
        <v>97</v>
      </c>
      <c r="B165" s="17" t="s">
        <v>50</v>
      </c>
      <c r="C165" s="342">
        <v>2</v>
      </c>
      <c r="D165" s="341">
        <v>10</v>
      </c>
      <c r="E165" s="15">
        <f t="shared" si="2"/>
        <v>5</v>
      </c>
    </row>
    <row r="166" spans="1:7">
      <c r="A166" s="16" t="s">
        <v>69</v>
      </c>
      <c r="B166" s="17" t="s">
        <v>10</v>
      </c>
      <c r="C166" s="342">
        <v>6</v>
      </c>
      <c r="D166" s="341">
        <v>67</v>
      </c>
      <c r="E166" s="15">
        <f t="shared" si="2"/>
        <v>11.166666666666666</v>
      </c>
    </row>
    <row r="167" spans="1:7" s="1" customFormat="1">
      <c r="A167" s="2" t="s">
        <v>11</v>
      </c>
      <c r="B167" s="3" t="s">
        <v>10</v>
      </c>
      <c r="C167" s="342">
        <v>4</v>
      </c>
      <c r="D167" s="341">
        <v>20</v>
      </c>
      <c r="E167" s="15">
        <f t="shared" si="2"/>
        <v>5</v>
      </c>
      <c r="F167" s="38"/>
      <c r="G167" s="38"/>
    </row>
    <row r="168" spans="1:7">
      <c r="A168" s="16" t="s">
        <v>33</v>
      </c>
      <c r="B168" s="17" t="s">
        <v>50</v>
      </c>
      <c r="C168" s="342">
        <v>1</v>
      </c>
      <c r="D168" s="341">
        <v>19</v>
      </c>
      <c r="E168" s="15">
        <f t="shared" si="2"/>
        <v>19</v>
      </c>
    </row>
    <row r="169" spans="1:7" ht="13.2" customHeight="1">
      <c r="A169" s="16" t="s">
        <v>63</v>
      </c>
      <c r="B169" s="17" t="s">
        <v>51</v>
      </c>
      <c r="C169" s="342">
        <v>2</v>
      </c>
      <c r="D169" s="341">
        <v>20</v>
      </c>
      <c r="E169" s="15">
        <f t="shared" si="2"/>
        <v>10</v>
      </c>
    </row>
    <row r="170" spans="1:7">
      <c r="A170" s="16" t="s">
        <v>200</v>
      </c>
      <c r="B170" s="17" t="s">
        <v>126</v>
      </c>
      <c r="C170" s="343">
        <v>1</v>
      </c>
      <c r="D170" s="341">
        <v>50</v>
      </c>
      <c r="E170" s="18">
        <f t="shared" ref="E170:E171" si="3">C170*D170</f>
        <v>50</v>
      </c>
    </row>
    <row r="171" spans="1:7" ht="13.8" thickBot="1">
      <c r="A171" s="16" t="s">
        <v>5</v>
      </c>
      <c r="B171" s="17" t="s">
        <v>6</v>
      </c>
      <c r="C171" s="69">
        <f>E43+E44</f>
        <v>2</v>
      </c>
      <c r="D171" s="18">
        <f>+SUM(E160:E170)</f>
        <v>151.58333333333331</v>
      </c>
      <c r="E171" s="18">
        <f t="shared" si="3"/>
        <v>303.16666666666663</v>
      </c>
    </row>
    <row r="172" spans="1:7" ht="13.8" thickBot="1">
      <c r="D172" s="123" t="s">
        <v>197</v>
      </c>
      <c r="E172" s="327">
        <f>$B$53</f>
        <v>0.61363636363636365</v>
      </c>
      <c r="F172" s="124">
        <f>E171*E172</f>
        <v>186.03409090909088</v>
      </c>
    </row>
    <row r="173" spans="1:7" ht="11.25" customHeight="1"/>
    <row r="174" spans="1:7" ht="13.95" customHeight="1">
      <c r="A174" s="9" t="s">
        <v>201</v>
      </c>
    </row>
    <row r="175" spans="1:7" ht="11.25" customHeight="1" thickBot="1"/>
    <row r="176" spans="1:7" ht="24.6" thickBot="1">
      <c r="A176" s="60" t="s">
        <v>64</v>
      </c>
      <c r="B176" s="61" t="s">
        <v>65</v>
      </c>
      <c r="C176" s="270" t="s">
        <v>259</v>
      </c>
      <c r="D176" s="62" t="s">
        <v>237</v>
      </c>
      <c r="E176" s="62" t="s">
        <v>66</v>
      </c>
      <c r="F176" s="63" t="s">
        <v>67</v>
      </c>
    </row>
    <row r="177" spans="1:7">
      <c r="A177" s="13" t="s">
        <v>68</v>
      </c>
      <c r="B177" s="14" t="s">
        <v>10</v>
      </c>
      <c r="C177" s="346">
        <f>C160</f>
        <v>12</v>
      </c>
      <c r="D177" s="15">
        <f>+D160</f>
        <v>110</v>
      </c>
      <c r="E177" s="15">
        <f>IFERROR(D177/C177,0)</f>
        <v>9.1666666666666661</v>
      </c>
    </row>
    <row r="178" spans="1:7">
      <c r="A178" s="16" t="s">
        <v>30</v>
      </c>
      <c r="B178" s="17" t="s">
        <v>10</v>
      </c>
      <c r="C178" s="346">
        <f>C161</f>
        <v>4</v>
      </c>
      <c r="D178" s="18">
        <f>+D161</f>
        <v>35</v>
      </c>
      <c r="E178" s="15">
        <f t="shared" ref="E178:E182" si="4">IFERROR(D178/C178,0)</f>
        <v>8.75</v>
      </c>
    </row>
    <row r="179" spans="1:7">
      <c r="A179" s="16" t="s">
        <v>31</v>
      </c>
      <c r="B179" s="17" t="s">
        <v>10</v>
      </c>
      <c r="C179" s="346">
        <f>C162</f>
        <v>2</v>
      </c>
      <c r="D179" s="18">
        <f>+D162</f>
        <v>28</v>
      </c>
      <c r="E179" s="15">
        <f t="shared" si="4"/>
        <v>14</v>
      </c>
    </row>
    <row r="180" spans="1:7">
      <c r="A180" s="16" t="s">
        <v>70</v>
      </c>
      <c r="B180" s="17" t="s">
        <v>50</v>
      </c>
      <c r="C180" s="346">
        <f>C164</f>
        <v>4</v>
      </c>
      <c r="D180" s="18">
        <f>+D164</f>
        <v>60</v>
      </c>
      <c r="E180" s="15">
        <f t="shared" si="4"/>
        <v>15</v>
      </c>
    </row>
    <row r="181" spans="1:7">
      <c r="A181" s="16" t="s">
        <v>69</v>
      </c>
      <c r="B181" s="17" t="s">
        <v>10</v>
      </c>
      <c r="C181" s="346">
        <f>C166</f>
        <v>6</v>
      </c>
      <c r="D181" s="18">
        <f>+D166</f>
        <v>67</v>
      </c>
      <c r="E181" s="15">
        <f t="shared" si="4"/>
        <v>11.166666666666666</v>
      </c>
      <c r="G181" s="9"/>
    </row>
    <row r="182" spans="1:7">
      <c r="A182" s="16" t="s">
        <v>63</v>
      </c>
      <c r="B182" s="17" t="s">
        <v>51</v>
      </c>
      <c r="C182" s="346">
        <f>C169</f>
        <v>2</v>
      </c>
      <c r="D182" s="18">
        <f>+D169</f>
        <v>20</v>
      </c>
      <c r="E182" s="15">
        <f t="shared" si="4"/>
        <v>10</v>
      </c>
      <c r="G182" s="9"/>
    </row>
    <row r="183" spans="1:7">
      <c r="A183" s="16" t="s">
        <v>200</v>
      </c>
      <c r="B183" s="17" t="s">
        <v>126</v>
      </c>
      <c r="C183" s="121">
        <v>1</v>
      </c>
      <c r="D183" s="87">
        <f>D170</f>
        <v>50</v>
      </c>
      <c r="E183" s="18">
        <f t="shared" ref="E183:E184" si="5">C183*D183</f>
        <v>50</v>
      </c>
      <c r="G183" s="9"/>
    </row>
    <row r="184" spans="1:7" ht="13.8" thickBot="1">
      <c r="A184" s="16" t="s">
        <v>5</v>
      </c>
      <c r="B184" s="17" t="s">
        <v>6</v>
      </c>
      <c r="C184" s="69">
        <f>E45+E46</f>
        <v>2</v>
      </c>
      <c r="D184" s="18">
        <f>+SUM(E177:E183)</f>
        <v>118.08333333333333</v>
      </c>
      <c r="E184" s="18">
        <f t="shared" si="5"/>
        <v>236.16666666666666</v>
      </c>
      <c r="G184" s="9"/>
    </row>
    <row r="185" spans="1:7" ht="13.8" thickBot="1">
      <c r="D185" s="123" t="s">
        <v>197</v>
      </c>
      <c r="E185" s="327">
        <f>E102</f>
        <v>0.68181818181818177</v>
      </c>
      <c r="F185" s="124">
        <f>E184*E185</f>
        <v>161.02272727272725</v>
      </c>
      <c r="G185" s="9"/>
    </row>
    <row r="186" spans="1:7" ht="11.25" customHeight="1" thickBot="1">
      <c r="G186" s="9"/>
    </row>
    <row r="187" spans="1:7" ht="13.8" thickBot="1">
      <c r="A187" s="24" t="s">
        <v>202</v>
      </c>
      <c r="B187" s="28"/>
      <c r="C187" s="28"/>
      <c r="D187" s="29"/>
      <c r="E187" s="30"/>
      <c r="F187" s="21">
        <f>+F172+F185</f>
        <v>347.05681818181813</v>
      </c>
      <c r="G187" s="9"/>
    </row>
    <row r="188" spans="1:7" ht="11.25" customHeight="1">
      <c r="G188" s="9"/>
    </row>
    <row r="189" spans="1:7">
      <c r="A189" s="11" t="s">
        <v>56</v>
      </c>
      <c r="G189" s="9"/>
    </row>
    <row r="190" spans="1:7" ht="11.25" customHeight="1">
      <c r="B190" s="107"/>
      <c r="G190" s="9"/>
    </row>
    <row r="191" spans="1:7">
      <c r="A191" s="7" t="s">
        <v>399</v>
      </c>
      <c r="G191" s="9"/>
    </row>
    <row r="192" spans="1:7" ht="11.25" customHeight="1">
      <c r="G192" s="9"/>
    </row>
    <row r="193" spans="1:10" ht="13.8" thickBot="1">
      <c r="A193" s="107" t="s">
        <v>48</v>
      </c>
      <c r="G193" s="9"/>
    </row>
    <row r="194" spans="1:10" ht="13.8" thickBot="1">
      <c r="A194" s="60" t="s">
        <v>64</v>
      </c>
      <c r="B194" s="61" t="s">
        <v>65</v>
      </c>
      <c r="C194" s="61" t="s">
        <v>42</v>
      </c>
      <c r="D194" s="62" t="s">
        <v>237</v>
      </c>
      <c r="E194" s="62" t="s">
        <v>66</v>
      </c>
      <c r="F194" s="63" t="s">
        <v>67</v>
      </c>
      <c r="G194" s="9"/>
    </row>
    <row r="195" spans="1:10">
      <c r="A195" s="13" t="s">
        <v>109</v>
      </c>
      <c r="B195" s="14" t="s">
        <v>10</v>
      </c>
      <c r="C195" s="276">
        <v>1</v>
      </c>
      <c r="D195" s="87">
        <v>202401</v>
      </c>
      <c r="E195" s="15">
        <f>C195*D195</f>
        <v>202401</v>
      </c>
      <c r="G195" s="9"/>
    </row>
    <row r="196" spans="1:10">
      <c r="A196" s="16" t="s">
        <v>106</v>
      </c>
      <c r="B196" s="17" t="s">
        <v>107</v>
      </c>
      <c r="C196" s="86">
        <v>10</v>
      </c>
      <c r="D196" s="83"/>
      <c r="E196" s="18"/>
      <c r="G196" s="9"/>
    </row>
    <row r="197" spans="1:10">
      <c r="A197" s="16" t="s">
        <v>215</v>
      </c>
      <c r="B197" s="17" t="s">
        <v>107</v>
      </c>
      <c r="C197" s="86">
        <v>5</v>
      </c>
      <c r="D197" s="18"/>
      <c r="E197" s="18"/>
      <c r="F197" s="20"/>
      <c r="I197" s="85"/>
      <c r="J197" s="85"/>
    </row>
    <row r="198" spans="1:10">
      <c r="A198" s="16" t="s">
        <v>108</v>
      </c>
      <c r="B198" s="17" t="s">
        <v>2</v>
      </c>
      <c r="C198" s="141">
        <f>IFERROR(VLOOKUP(C196,'8. Depr'!A3:B17,2,FALSE),0)</f>
        <v>65.180000000000007</v>
      </c>
      <c r="D198" s="18">
        <f>E195</f>
        <v>202401</v>
      </c>
      <c r="E198" s="18">
        <f>C198*D198/100</f>
        <v>131924.97180000003</v>
      </c>
    </row>
    <row r="199" spans="1:10" ht="13.8" thickBot="1">
      <c r="A199" s="279" t="s">
        <v>52</v>
      </c>
      <c r="B199" s="280" t="s">
        <v>8</v>
      </c>
      <c r="C199" s="280">
        <f>C196*12</f>
        <v>120</v>
      </c>
      <c r="D199" s="281">
        <f>IF(C197&lt;=C196,E198,0)</f>
        <v>131924.97180000003</v>
      </c>
      <c r="E199" s="281">
        <f>IFERROR(D199/C199,0)</f>
        <v>1099.3747650000003</v>
      </c>
    </row>
    <row r="200" spans="1:10" ht="13.8" thickTop="1">
      <c r="A200" s="308" t="s">
        <v>400</v>
      </c>
      <c r="B200" s="14" t="s">
        <v>10</v>
      </c>
      <c r="C200" s="14">
        <f>C195</f>
        <v>1</v>
      </c>
      <c r="D200" s="87">
        <v>80000</v>
      </c>
      <c r="E200" s="15">
        <f>C200*D200</f>
        <v>80000</v>
      </c>
      <c r="G200" s="9"/>
    </row>
    <row r="201" spans="1:10">
      <c r="A201" s="344" t="s">
        <v>106</v>
      </c>
      <c r="B201" s="17" t="s">
        <v>107</v>
      </c>
      <c r="C201" s="86">
        <v>10</v>
      </c>
      <c r="D201" s="18"/>
      <c r="E201" s="18"/>
    </row>
    <row r="202" spans="1:10">
      <c r="A202" s="344" t="s">
        <v>401</v>
      </c>
      <c r="B202" s="17" t="s">
        <v>107</v>
      </c>
      <c r="C202" s="86">
        <v>5</v>
      </c>
      <c r="D202" s="18"/>
      <c r="E202" s="18"/>
      <c r="F202" s="20"/>
      <c r="I202" s="85"/>
      <c r="J202" s="85"/>
    </row>
    <row r="203" spans="1:10">
      <c r="A203" s="344" t="s">
        <v>108</v>
      </c>
      <c r="B203" s="17" t="s">
        <v>2</v>
      </c>
      <c r="C203" s="142">
        <f>IFERROR(VLOOKUP(C201,'8. Depr'!A3:B17,2,FALSE),0)</f>
        <v>65.180000000000007</v>
      </c>
      <c r="D203" s="18">
        <f>E200</f>
        <v>80000</v>
      </c>
      <c r="E203" s="18">
        <f>C203*D203/100</f>
        <v>52144.000000000007</v>
      </c>
    </row>
    <row r="204" spans="1:10">
      <c r="A204" s="103" t="s">
        <v>402</v>
      </c>
      <c r="B204" s="104" t="s">
        <v>8</v>
      </c>
      <c r="C204" s="104">
        <f>C201*12</f>
        <v>120</v>
      </c>
      <c r="D204" s="105">
        <f>IF(C202&lt;=C201,E203,0)</f>
        <v>52144.000000000007</v>
      </c>
      <c r="E204" s="105">
        <f>IFERROR(D204/C204,0)</f>
        <v>434.53333333333342</v>
      </c>
    </row>
    <row r="205" spans="1:10">
      <c r="A205" s="116" t="s">
        <v>262</v>
      </c>
      <c r="B205" s="117"/>
      <c r="C205" s="117"/>
      <c r="D205" s="118"/>
      <c r="E205" s="119">
        <f>E199+E204</f>
        <v>1533.9080983333338</v>
      </c>
    </row>
    <row r="206" spans="1:10" ht="13.8" thickBot="1">
      <c r="A206" s="103" t="s">
        <v>263</v>
      </c>
      <c r="B206" s="104" t="s">
        <v>10</v>
      </c>
      <c r="C206" s="86">
        <v>1.1000000000000001</v>
      </c>
      <c r="D206" s="105">
        <f>E205</f>
        <v>1533.9080983333338</v>
      </c>
      <c r="E206" s="119">
        <f>C206*D206</f>
        <v>1687.2989081666674</v>
      </c>
    </row>
    <row r="207" spans="1:10" ht="13.8" thickBot="1">
      <c r="A207" s="275"/>
      <c r="B207" s="275"/>
      <c r="C207" s="275"/>
      <c r="D207" s="123" t="s">
        <v>197</v>
      </c>
      <c r="E207" s="327">
        <f>E102</f>
        <v>0.68181818181818177</v>
      </c>
      <c r="F207" s="21">
        <f>E206*E207</f>
        <v>1150.4310737500005</v>
      </c>
    </row>
    <row r="208" spans="1:10" ht="11.25" customHeight="1"/>
    <row r="209" spans="1:10" ht="13.8" thickBot="1">
      <c r="A209" s="107" t="s">
        <v>114</v>
      </c>
    </row>
    <row r="210" spans="1:10" ht="13.8" thickBot="1">
      <c r="A210" s="109" t="s">
        <v>64</v>
      </c>
      <c r="B210" s="110" t="s">
        <v>65</v>
      </c>
      <c r="C210" s="110" t="s">
        <v>42</v>
      </c>
      <c r="D210" s="62" t="s">
        <v>237</v>
      </c>
      <c r="E210" s="111" t="s">
        <v>66</v>
      </c>
      <c r="F210" s="63" t="s">
        <v>67</v>
      </c>
      <c r="I210" s="85"/>
      <c r="J210" s="85"/>
    </row>
    <row r="211" spans="1:10">
      <c r="A211" s="16" t="s">
        <v>112</v>
      </c>
      <c r="B211" s="17" t="s">
        <v>10</v>
      </c>
      <c r="C211" s="276">
        <v>1</v>
      </c>
      <c r="D211" s="18">
        <f>D195</f>
        <v>202401</v>
      </c>
      <c r="E211" s="18">
        <f>C211*D211</f>
        <v>202401</v>
      </c>
      <c r="F211" s="20"/>
      <c r="I211" s="85"/>
      <c r="J211" s="85"/>
    </row>
    <row r="212" spans="1:10">
      <c r="A212" s="16" t="s">
        <v>218</v>
      </c>
      <c r="B212" s="17" t="s">
        <v>2</v>
      </c>
      <c r="C212" s="86">
        <v>2</v>
      </c>
      <c r="D212" s="18"/>
      <c r="E212" s="18"/>
      <c r="F212" s="20"/>
      <c r="I212" s="85"/>
      <c r="J212" s="85"/>
    </row>
    <row r="213" spans="1:10">
      <c r="A213" s="16" t="s">
        <v>216</v>
      </c>
      <c r="B213" s="17" t="s">
        <v>35</v>
      </c>
      <c r="C213" s="149">
        <f>IFERROR(IF(C197&lt;=C196,E195-(C198/(100*C196)*C197)*E195,E195-E198),0)</f>
        <v>136438.5141</v>
      </c>
      <c r="D213" s="18"/>
      <c r="E213" s="18"/>
      <c r="F213" s="20"/>
      <c r="I213" s="85"/>
      <c r="J213" s="85"/>
    </row>
    <row r="214" spans="1:10">
      <c r="A214" s="16" t="s">
        <v>117</v>
      </c>
      <c r="B214" s="17" t="s">
        <v>35</v>
      </c>
      <c r="C214" s="83">
        <f>IFERROR(IF(C197&gt;=C196,C213,((((C213)-(E195-E198))*(((C196-C197)+1)/(2*(C196-C197))))+(E195-E198))),0)</f>
        <v>110053.51973999999</v>
      </c>
      <c r="D214" s="18"/>
      <c r="E214" s="18"/>
      <c r="F214" s="20"/>
      <c r="I214" s="85"/>
      <c r="J214" s="85"/>
    </row>
    <row r="215" spans="1:10" ht="13.8" thickBot="1">
      <c r="A215" s="279" t="s">
        <v>118</v>
      </c>
      <c r="B215" s="280" t="s">
        <v>35</v>
      </c>
      <c r="C215" s="280"/>
      <c r="D215" s="282">
        <f>C212*C214/12/100</f>
        <v>183.42253289999996</v>
      </c>
      <c r="E215" s="281">
        <f>D215</f>
        <v>183.42253289999996</v>
      </c>
      <c r="F215" s="20"/>
      <c r="I215" s="85"/>
      <c r="J215" s="85"/>
    </row>
    <row r="216" spans="1:10" ht="13.8" thickTop="1">
      <c r="A216" s="308" t="s">
        <v>400</v>
      </c>
      <c r="B216" s="14" t="s">
        <v>10</v>
      </c>
      <c r="C216" s="14">
        <f>C200</f>
        <v>1</v>
      </c>
      <c r="D216" s="15">
        <f>D200</f>
        <v>80000</v>
      </c>
      <c r="E216" s="15">
        <f>C216*D216</f>
        <v>80000</v>
      </c>
      <c r="F216" s="20"/>
      <c r="I216" s="85"/>
      <c r="J216" s="85"/>
    </row>
    <row r="217" spans="1:10">
      <c r="A217" s="344" t="s">
        <v>218</v>
      </c>
      <c r="B217" s="17" t="s">
        <v>2</v>
      </c>
      <c r="C217" s="277">
        <f>C212</f>
        <v>2</v>
      </c>
      <c r="D217" s="18"/>
      <c r="E217" s="18"/>
      <c r="F217" s="20"/>
      <c r="I217" s="85"/>
      <c r="J217" s="85"/>
    </row>
    <row r="218" spans="1:10">
      <c r="A218" s="16" t="s">
        <v>217</v>
      </c>
      <c r="B218" s="17" t="s">
        <v>35</v>
      </c>
      <c r="C218" s="149">
        <f>IFERROR(IF(C202&lt;=C201,E200-(C203/(100*C201)*C202)*E200,E200-E203),0)</f>
        <v>53928</v>
      </c>
      <c r="D218" s="18"/>
      <c r="E218" s="18"/>
      <c r="F218" s="20"/>
      <c r="I218" s="85"/>
      <c r="J218" s="85"/>
    </row>
    <row r="219" spans="1:10">
      <c r="A219" s="344" t="s">
        <v>522</v>
      </c>
      <c r="B219" s="17" t="s">
        <v>35</v>
      </c>
      <c r="C219" s="83">
        <f>IFERROR(IF(C202&gt;=C201,C218,((((C218)-(E200-E203))*(((C201-C202)+1)/(2*(C201-C202))))+(E200-E203))),0)</f>
        <v>43499.199999999997</v>
      </c>
      <c r="D219" s="18"/>
      <c r="E219" s="18"/>
      <c r="F219" s="20"/>
      <c r="I219" s="85"/>
      <c r="J219" s="85"/>
    </row>
    <row r="220" spans="1:10">
      <c r="A220" s="103" t="s">
        <v>523</v>
      </c>
      <c r="B220" s="104" t="s">
        <v>35</v>
      </c>
      <c r="C220" s="104"/>
      <c r="D220" s="113">
        <f>C217*C219/12/100</f>
        <v>72.498666666666665</v>
      </c>
      <c r="E220" s="105">
        <f>D220</f>
        <v>72.498666666666665</v>
      </c>
      <c r="F220" s="20"/>
      <c r="I220" s="85"/>
      <c r="J220" s="85"/>
    </row>
    <row r="221" spans="1:10">
      <c r="A221" s="116" t="s">
        <v>262</v>
      </c>
      <c r="B221" s="117"/>
      <c r="C221" s="117"/>
      <c r="D221" s="118"/>
      <c r="E221" s="119">
        <f>E215+E220</f>
        <v>255.92119956666664</v>
      </c>
      <c r="F221" s="20"/>
      <c r="G221" s="512"/>
      <c r="I221" s="85"/>
      <c r="J221" s="85"/>
    </row>
    <row r="222" spans="1:10" ht="13.8" thickBot="1">
      <c r="A222" s="103" t="s">
        <v>263</v>
      </c>
      <c r="B222" s="104" t="s">
        <v>10</v>
      </c>
      <c r="C222" s="277">
        <f>C206</f>
        <v>1.1000000000000001</v>
      </c>
      <c r="D222" s="105">
        <f>E221</f>
        <v>255.92119956666664</v>
      </c>
      <c r="E222" s="119">
        <f>C222*D222</f>
        <v>281.51331952333334</v>
      </c>
      <c r="F222" s="20"/>
      <c r="I222" s="85"/>
      <c r="J222" s="85"/>
    </row>
    <row r="223" spans="1:10" ht="13.8" thickBot="1">
      <c r="C223" s="19"/>
      <c r="D223" s="123" t="s">
        <v>197</v>
      </c>
      <c r="E223" s="327">
        <f>E207</f>
        <v>0.68181818181818177</v>
      </c>
      <c r="F223" s="21">
        <f>E222*E223</f>
        <v>191.940899675</v>
      </c>
      <c r="I223" s="85"/>
      <c r="J223" s="85"/>
    </row>
    <row r="224" spans="1:10" ht="11.25" customHeight="1">
      <c r="I224" s="85"/>
      <c r="J224" s="85"/>
    </row>
    <row r="225" spans="1:10" ht="13.8" thickBot="1">
      <c r="A225" s="9" t="s">
        <v>53</v>
      </c>
      <c r="I225" s="85"/>
      <c r="J225" s="85"/>
    </row>
    <row r="226" spans="1:10" ht="13.8" thickBot="1">
      <c r="A226" s="60" t="s">
        <v>64</v>
      </c>
      <c r="B226" s="61" t="s">
        <v>65</v>
      </c>
      <c r="C226" s="61" t="s">
        <v>42</v>
      </c>
      <c r="D226" s="62" t="s">
        <v>237</v>
      </c>
      <c r="E226" s="62" t="s">
        <v>66</v>
      </c>
      <c r="F226" s="63" t="s">
        <v>67</v>
      </c>
      <c r="I226" s="85"/>
      <c r="J226" s="85"/>
    </row>
    <row r="227" spans="1:10">
      <c r="A227" s="13" t="s">
        <v>12</v>
      </c>
      <c r="B227" s="14" t="s">
        <v>10</v>
      </c>
      <c r="C227" s="15">
        <f>C206</f>
        <v>1.1000000000000001</v>
      </c>
      <c r="D227" s="15">
        <f>0.01*($C$213)</f>
        <v>1364.385141</v>
      </c>
      <c r="E227" s="15">
        <f>C227*D227</f>
        <v>1500.8236551</v>
      </c>
      <c r="I227" s="85"/>
      <c r="J227" s="85"/>
    </row>
    <row r="228" spans="1:10">
      <c r="A228" s="16" t="s">
        <v>196</v>
      </c>
      <c r="B228" s="17" t="s">
        <v>10</v>
      </c>
      <c r="C228" s="15">
        <f>C206</f>
        <v>1.1000000000000001</v>
      </c>
      <c r="D228" s="89">
        <v>96.77</v>
      </c>
      <c r="E228" s="18">
        <f>C228*D228</f>
        <v>106.447</v>
      </c>
      <c r="I228" s="85"/>
      <c r="J228" s="85"/>
    </row>
    <row r="229" spans="1:10">
      <c r="A229" s="16" t="s">
        <v>13</v>
      </c>
      <c r="B229" s="17" t="s">
        <v>10</v>
      </c>
      <c r="C229" s="15">
        <f>C206</f>
        <v>1.1000000000000001</v>
      </c>
      <c r="D229" s="89">
        <f>2510*1.05</f>
        <v>2635.5</v>
      </c>
      <c r="E229" s="18">
        <f>C229*D229</f>
        <v>2899.05</v>
      </c>
      <c r="F229" s="31"/>
      <c r="I229" s="85"/>
      <c r="J229" s="85"/>
    </row>
    <row r="230" spans="1:10" ht="13.8" thickBot="1">
      <c r="A230" s="103" t="s">
        <v>14</v>
      </c>
      <c r="B230" s="104" t="s">
        <v>8</v>
      </c>
      <c r="C230" s="104">
        <v>12</v>
      </c>
      <c r="D230" s="105">
        <f>SUM(E227:E229)</f>
        <v>4506.3206551000003</v>
      </c>
      <c r="E230" s="105">
        <f>D230/C230</f>
        <v>375.52672125833334</v>
      </c>
      <c r="I230" s="85"/>
      <c r="J230" s="85"/>
    </row>
    <row r="231" spans="1:10" ht="13.8" thickBot="1">
      <c r="D231" s="123" t="s">
        <v>197</v>
      </c>
      <c r="E231" s="327">
        <f>E223</f>
        <v>0.68181818181818177</v>
      </c>
      <c r="F231" s="124">
        <f>E230*E231</f>
        <v>256.04094631250001</v>
      </c>
      <c r="I231" s="85"/>
      <c r="J231" s="85"/>
    </row>
    <row r="232" spans="1:10" ht="11.25" customHeight="1">
      <c r="I232" s="85"/>
      <c r="J232" s="85"/>
    </row>
    <row r="233" spans="1:10">
      <c r="A233" s="9" t="s">
        <v>54</v>
      </c>
      <c r="B233" s="32"/>
      <c r="I233" s="85"/>
      <c r="J233" s="85"/>
    </row>
    <row r="234" spans="1:10">
      <c r="B234" s="32"/>
      <c r="I234" s="85"/>
      <c r="J234" s="85"/>
    </row>
    <row r="235" spans="1:10">
      <c r="A235" s="103" t="s">
        <v>121</v>
      </c>
      <c r="B235" s="358">
        <f>Roteiros!Q13</f>
        <v>2356.3654285714288</v>
      </c>
      <c r="I235" s="85"/>
      <c r="J235" s="85"/>
    </row>
    <row r="236" spans="1:10" ht="13.8" thickBot="1">
      <c r="B236" s="32"/>
      <c r="I236" s="85"/>
      <c r="J236" s="85"/>
    </row>
    <row r="237" spans="1:10" ht="13.8" thickBot="1">
      <c r="A237" s="60" t="s">
        <v>64</v>
      </c>
      <c r="B237" s="61" t="s">
        <v>65</v>
      </c>
      <c r="C237" s="61" t="s">
        <v>261</v>
      </c>
      <c r="D237" s="62" t="s">
        <v>237</v>
      </c>
      <c r="E237" s="62" t="s">
        <v>66</v>
      </c>
      <c r="F237" s="63" t="s">
        <v>67</v>
      </c>
      <c r="I237" s="85"/>
      <c r="J237" s="85"/>
    </row>
    <row r="238" spans="1:10">
      <c r="A238" s="13" t="s">
        <v>15</v>
      </c>
      <c r="B238" s="14" t="s">
        <v>16</v>
      </c>
      <c r="C238" s="97">
        <v>2.1</v>
      </c>
      <c r="D238" s="98">
        <v>3.34</v>
      </c>
      <c r="E238" s="15"/>
      <c r="I238" s="85"/>
      <c r="J238" s="85"/>
    </row>
    <row r="239" spans="1:10">
      <c r="A239" s="16" t="s">
        <v>17</v>
      </c>
      <c r="B239" s="17" t="s">
        <v>18</v>
      </c>
      <c r="C239" s="94">
        <f>B235</f>
        <v>2356.3654285714288</v>
      </c>
      <c r="D239" s="274">
        <f>IFERROR(+D238/C238,"-")</f>
        <v>1.5904761904761904</v>
      </c>
      <c r="E239" s="18">
        <f>IFERROR(C239*D239,"-")</f>
        <v>3747.7431102040819</v>
      </c>
      <c r="I239" s="85"/>
      <c r="J239" s="85"/>
    </row>
    <row r="240" spans="1:10">
      <c r="A240" s="16" t="s">
        <v>238</v>
      </c>
      <c r="B240" s="17" t="s">
        <v>19</v>
      </c>
      <c r="C240" s="100">
        <v>1.33</v>
      </c>
      <c r="D240" s="89">
        <v>12.4</v>
      </c>
      <c r="E240" s="18"/>
      <c r="G240" s="112"/>
      <c r="H240" s="52"/>
      <c r="I240" s="85"/>
      <c r="J240" s="85"/>
    </row>
    <row r="241" spans="1:10">
      <c r="A241" s="16" t="s">
        <v>20</v>
      </c>
      <c r="B241" s="17" t="s">
        <v>18</v>
      </c>
      <c r="C241" s="94">
        <f>C239</f>
        <v>2356.3654285714288</v>
      </c>
      <c r="D241" s="271">
        <f>+C240*D240/1000</f>
        <v>1.6492E-2</v>
      </c>
      <c r="E241" s="18">
        <f>C241*D241</f>
        <v>38.861178647999999</v>
      </c>
      <c r="G241" s="112"/>
      <c r="H241" s="52"/>
      <c r="I241" s="85"/>
      <c r="J241" s="85"/>
    </row>
    <row r="242" spans="1:10">
      <c r="A242" s="16" t="s">
        <v>239</v>
      </c>
      <c r="B242" s="17" t="s">
        <v>19</v>
      </c>
      <c r="C242" s="100">
        <v>0.18</v>
      </c>
      <c r="D242" s="89">
        <v>22</v>
      </c>
      <c r="E242" s="18"/>
      <c r="G242" s="112"/>
      <c r="H242" s="52"/>
      <c r="I242" s="85"/>
      <c r="J242" s="85"/>
    </row>
    <row r="243" spans="1:10">
      <c r="A243" s="16" t="s">
        <v>21</v>
      </c>
      <c r="B243" s="17" t="s">
        <v>18</v>
      </c>
      <c r="C243" s="94">
        <f>C239</f>
        <v>2356.3654285714288</v>
      </c>
      <c r="D243" s="271">
        <f>+C242*D242/1000</f>
        <v>3.96E-3</v>
      </c>
      <c r="E243" s="18">
        <f>C243*D243</f>
        <v>9.3312070971428582</v>
      </c>
      <c r="G243" s="112"/>
      <c r="H243" s="52"/>
      <c r="I243" s="85"/>
      <c r="J243" s="85"/>
    </row>
    <row r="244" spans="1:10">
      <c r="A244" s="16" t="s">
        <v>240</v>
      </c>
      <c r="B244" s="17" t="s">
        <v>19</v>
      </c>
      <c r="C244" s="100">
        <v>1</v>
      </c>
      <c r="D244" s="89">
        <v>18</v>
      </c>
      <c r="E244" s="18"/>
      <c r="G244" s="112"/>
      <c r="H244" s="52"/>
      <c r="I244" s="85"/>
      <c r="J244" s="85"/>
    </row>
    <row r="245" spans="1:10">
      <c r="A245" s="16" t="s">
        <v>22</v>
      </c>
      <c r="B245" s="17" t="s">
        <v>18</v>
      </c>
      <c r="C245" s="94">
        <f>C239</f>
        <v>2356.3654285714288</v>
      </c>
      <c r="D245" s="271">
        <f>+C244*D244/1000</f>
        <v>1.7999999999999999E-2</v>
      </c>
      <c r="E245" s="18">
        <f>C245*D245</f>
        <v>42.414577714285713</v>
      </c>
      <c r="G245" s="112"/>
      <c r="H245" s="52"/>
      <c r="I245" s="85"/>
      <c r="J245" s="85"/>
    </row>
    <row r="246" spans="1:10">
      <c r="A246" s="344" t="s">
        <v>521</v>
      </c>
      <c r="B246" s="513" t="s">
        <v>19</v>
      </c>
      <c r="C246" s="533">
        <v>20</v>
      </c>
      <c r="D246" s="449">
        <v>1.8</v>
      </c>
      <c r="E246" s="408"/>
      <c r="G246" s="112"/>
      <c r="H246" s="52"/>
      <c r="I246" s="85"/>
      <c r="J246" s="85"/>
    </row>
    <row r="247" spans="1:10">
      <c r="A247" s="344" t="s">
        <v>520</v>
      </c>
      <c r="B247" s="513" t="s">
        <v>18</v>
      </c>
      <c r="C247" s="422">
        <f>C241</f>
        <v>2356.3654285714288</v>
      </c>
      <c r="D247" s="458">
        <f>+C246*D246/1000</f>
        <v>3.5999999999999997E-2</v>
      </c>
      <c r="E247" s="408">
        <f>C247*D247</f>
        <v>84.829155428571426</v>
      </c>
      <c r="G247" s="112"/>
      <c r="H247" s="52"/>
      <c r="I247" s="85"/>
      <c r="J247" s="85"/>
    </row>
    <row r="248" spans="1:10">
      <c r="A248" s="16" t="s">
        <v>23</v>
      </c>
      <c r="B248" s="17" t="s">
        <v>24</v>
      </c>
      <c r="C248" s="100">
        <v>2</v>
      </c>
      <c r="D248" s="89">
        <v>8.4499999999999993</v>
      </c>
      <c r="E248" s="18"/>
      <c r="G248" s="112"/>
      <c r="H248" s="52"/>
      <c r="I248" s="85"/>
      <c r="J248" s="85"/>
    </row>
    <row r="249" spans="1:10">
      <c r="A249" s="16" t="s">
        <v>25</v>
      </c>
      <c r="B249" s="17" t="s">
        <v>18</v>
      </c>
      <c r="C249" s="94">
        <f>C239</f>
        <v>2356.3654285714288</v>
      </c>
      <c r="D249" s="271">
        <f>+C248*D248/1000</f>
        <v>1.6899999999999998E-2</v>
      </c>
      <c r="E249" s="18">
        <f>C249*D249</f>
        <v>39.82257574285714</v>
      </c>
      <c r="G249" s="112"/>
      <c r="H249" s="52"/>
      <c r="I249" s="85"/>
      <c r="J249" s="85"/>
    </row>
    <row r="250" spans="1:10" ht="13.8" thickBot="1">
      <c r="A250" s="103" t="s">
        <v>260</v>
      </c>
      <c r="B250" s="104" t="s">
        <v>122</v>
      </c>
      <c r="C250" s="272"/>
      <c r="D250" s="273">
        <f>IFERROR(D239+D241+D243+D245+D249,0)</f>
        <v>1.6458281904761902</v>
      </c>
      <c r="E250" s="18"/>
      <c r="G250" s="112"/>
      <c r="H250" s="52"/>
      <c r="I250" s="85"/>
      <c r="J250" s="85"/>
    </row>
    <row r="251" spans="1:10" ht="13.8" thickBot="1">
      <c r="F251" s="21">
        <f>SUM(E238:E249)</f>
        <v>3963.0018048349393</v>
      </c>
      <c r="I251" s="85"/>
      <c r="J251" s="85"/>
    </row>
    <row r="252" spans="1:10" ht="11.25" customHeight="1">
      <c r="I252" s="85"/>
      <c r="J252" s="85"/>
    </row>
    <row r="253" spans="1:10" ht="13.8" thickBot="1">
      <c r="A253" s="9" t="s">
        <v>55</v>
      </c>
      <c r="I253" s="85"/>
      <c r="J253" s="85"/>
    </row>
    <row r="254" spans="1:10" ht="13.8" thickBot="1">
      <c r="A254" s="60" t="s">
        <v>64</v>
      </c>
      <c r="B254" s="61" t="s">
        <v>65</v>
      </c>
      <c r="C254" s="61" t="s">
        <v>42</v>
      </c>
      <c r="D254" s="62" t="s">
        <v>237</v>
      </c>
      <c r="E254" s="62" t="s">
        <v>66</v>
      </c>
      <c r="F254" s="63" t="s">
        <v>67</v>
      </c>
      <c r="I254" s="85"/>
      <c r="J254" s="85"/>
    </row>
    <row r="255" spans="1:10" ht="13.8" thickBot="1">
      <c r="A255" s="13" t="s">
        <v>120</v>
      </c>
      <c r="B255" s="14" t="s">
        <v>122</v>
      </c>
      <c r="C255" s="94">
        <f>C239</f>
        <v>2356.3654285714288</v>
      </c>
      <c r="D255" s="87">
        <v>0.82</v>
      </c>
      <c r="E255" s="15">
        <f>C255*D255</f>
        <v>1932.2196514285715</v>
      </c>
      <c r="I255" s="85"/>
      <c r="J255" s="85"/>
    </row>
    <row r="256" spans="1:10" ht="13.8" thickBot="1">
      <c r="F256" s="21">
        <f>E255</f>
        <v>1932.2196514285715</v>
      </c>
      <c r="I256" s="85"/>
      <c r="J256" s="85"/>
    </row>
    <row r="257" spans="1:10" ht="11.25" customHeight="1">
      <c r="I257" s="85"/>
      <c r="J257" s="85"/>
    </row>
    <row r="258" spans="1:10" ht="13.8" thickBot="1">
      <c r="A258" s="9" t="s">
        <v>62</v>
      </c>
      <c r="I258" s="85"/>
      <c r="J258" s="85"/>
    </row>
    <row r="259" spans="1:10" ht="13.8" thickBot="1">
      <c r="A259" s="60" t="s">
        <v>64</v>
      </c>
      <c r="B259" s="61" t="s">
        <v>65</v>
      </c>
      <c r="C259" s="61" t="s">
        <v>42</v>
      </c>
      <c r="D259" s="62" t="s">
        <v>237</v>
      </c>
      <c r="E259" s="62" t="s">
        <v>66</v>
      </c>
      <c r="F259" s="63" t="s">
        <v>67</v>
      </c>
      <c r="I259" s="85"/>
      <c r="J259" s="85"/>
    </row>
    <row r="260" spans="1:10">
      <c r="A260" s="308" t="s">
        <v>519</v>
      </c>
      <c r="B260" s="14" t="s">
        <v>10</v>
      </c>
      <c r="C260" s="96">
        <v>6</v>
      </c>
      <c r="D260" s="87">
        <v>1600</v>
      </c>
      <c r="E260" s="15">
        <f>C260*D260</f>
        <v>9600</v>
      </c>
      <c r="I260" s="85"/>
      <c r="J260" s="85"/>
    </row>
    <row r="261" spans="1:10">
      <c r="A261" s="13" t="s">
        <v>123</v>
      </c>
      <c r="B261" s="14" t="s">
        <v>10</v>
      </c>
      <c r="C261" s="96">
        <v>2</v>
      </c>
      <c r="D261" s="106"/>
      <c r="E261" s="15"/>
      <c r="I261" s="85"/>
      <c r="J261" s="85"/>
    </row>
    <row r="262" spans="1:10">
      <c r="A262" s="13" t="s">
        <v>72</v>
      </c>
      <c r="B262" s="14" t="s">
        <v>10</v>
      </c>
      <c r="C262" s="15">
        <f>C260*C261</f>
        <v>12</v>
      </c>
      <c r="D262" s="87">
        <v>500</v>
      </c>
      <c r="E262" s="15">
        <f>C262*D262</f>
        <v>6000</v>
      </c>
      <c r="I262" s="85"/>
      <c r="J262" s="85"/>
    </row>
    <row r="263" spans="1:10">
      <c r="A263" s="16" t="s">
        <v>98</v>
      </c>
      <c r="B263" s="17" t="s">
        <v>26</v>
      </c>
      <c r="C263" s="99">
        <v>70000</v>
      </c>
      <c r="D263" s="18">
        <f>E260+E262</f>
        <v>15600</v>
      </c>
      <c r="E263" s="18">
        <f>IFERROR(D263/C263,"-")</f>
        <v>0.22285714285714286</v>
      </c>
      <c r="I263" s="85"/>
      <c r="J263" s="85"/>
    </row>
    <row r="264" spans="1:10" ht="13.8" thickBot="1">
      <c r="A264" s="16" t="s">
        <v>57</v>
      </c>
      <c r="B264" s="17" t="s">
        <v>18</v>
      </c>
      <c r="C264" s="94">
        <f>B235</f>
        <v>2356.3654285714288</v>
      </c>
      <c r="D264" s="18">
        <f>E263</f>
        <v>0.22285714285714286</v>
      </c>
      <c r="E264" s="18">
        <f>IFERROR(C264*D264,0)</f>
        <v>525.13286693877558</v>
      </c>
      <c r="I264" s="85"/>
      <c r="J264" s="85"/>
    </row>
    <row r="265" spans="1:10" ht="13.8" thickBot="1">
      <c r="F265" s="21">
        <f>E264</f>
        <v>525.13286693877558</v>
      </c>
      <c r="I265" s="85"/>
      <c r="J265" s="85"/>
    </row>
    <row r="266" spans="1:10" ht="11.25" customHeight="1">
      <c r="I266" s="85"/>
      <c r="J266" s="85"/>
    </row>
    <row r="267" spans="1:10" ht="11.25" customHeight="1" thickBot="1">
      <c r="G267" s="9"/>
    </row>
    <row r="268" spans="1:10" ht="13.8" thickBot="1">
      <c r="A268" s="24" t="s">
        <v>230</v>
      </c>
      <c r="B268" s="25"/>
      <c r="C268" s="25"/>
      <c r="D268" s="26"/>
      <c r="E268" s="27"/>
      <c r="F268" s="21">
        <f>+SUM(F195:F267)</f>
        <v>8018.7672429397871</v>
      </c>
      <c r="G268" s="9"/>
    </row>
    <row r="269" spans="1:10" ht="11.25" customHeight="1">
      <c r="G269" s="9"/>
    </row>
    <row r="270" spans="1:10">
      <c r="A270" s="34" t="s">
        <v>517</v>
      </c>
      <c r="B270" s="34"/>
      <c r="C270" s="34"/>
      <c r="D270" s="35"/>
      <c r="E270" s="35"/>
      <c r="F270" s="33"/>
      <c r="G270" s="9"/>
    </row>
    <row r="271" spans="1:10" ht="11.25" customHeight="1" thickBot="1">
      <c r="G271" s="9"/>
    </row>
    <row r="272" spans="1:10" ht="13.8" thickBot="1">
      <c r="A272" s="60" t="s">
        <v>64</v>
      </c>
      <c r="B272" s="61" t="s">
        <v>65</v>
      </c>
      <c r="C272" s="61" t="s">
        <v>42</v>
      </c>
      <c r="D272" s="62" t="s">
        <v>237</v>
      </c>
      <c r="E272" s="62" t="s">
        <v>66</v>
      </c>
      <c r="F272" s="63" t="s">
        <v>67</v>
      </c>
      <c r="G272" s="9"/>
    </row>
    <row r="273" spans="1:7">
      <c r="A273" s="16" t="s">
        <v>73</v>
      </c>
      <c r="B273" s="17" t="s">
        <v>10</v>
      </c>
      <c r="C273" s="101">
        <v>0.16666666666666666</v>
      </c>
      <c r="D273" s="87">
        <v>39</v>
      </c>
      <c r="E273" s="18">
        <f t="shared" ref="E273:E279" si="6">C273*D273</f>
        <v>6.5</v>
      </c>
      <c r="F273" s="55"/>
      <c r="G273" s="9"/>
    </row>
    <row r="274" spans="1:7">
      <c r="A274" s="16" t="s">
        <v>28</v>
      </c>
      <c r="B274" s="17" t="s">
        <v>10</v>
      </c>
      <c r="C274" s="101">
        <v>0.16666666666666666</v>
      </c>
      <c r="D274" s="87">
        <v>26.92</v>
      </c>
      <c r="E274" s="18">
        <f t="shared" si="6"/>
        <v>4.4866666666666664</v>
      </c>
      <c r="F274" s="55"/>
      <c r="G274" s="9"/>
    </row>
    <row r="275" spans="1:7">
      <c r="A275" s="16" t="s">
        <v>29</v>
      </c>
      <c r="B275" s="17" t="s">
        <v>10</v>
      </c>
      <c r="C275" s="101">
        <v>0.16666666666666666</v>
      </c>
      <c r="D275" s="87">
        <v>26.19</v>
      </c>
      <c r="E275" s="18">
        <f t="shared" si="6"/>
        <v>4.3650000000000002</v>
      </c>
      <c r="F275" s="55"/>
      <c r="G275" s="9"/>
    </row>
    <row r="276" spans="1:7">
      <c r="A276" s="344" t="s">
        <v>559</v>
      </c>
      <c r="B276" s="513" t="s">
        <v>10</v>
      </c>
      <c r="C276" s="531">
        <v>40</v>
      </c>
      <c r="D276" s="87">
        <v>10</v>
      </c>
      <c r="E276" s="18">
        <f t="shared" si="6"/>
        <v>400</v>
      </c>
      <c r="F276" s="55"/>
      <c r="G276" s="9"/>
    </row>
    <row r="277" spans="1:7">
      <c r="A277" s="344" t="s">
        <v>518</v>
      </c>
      <c r="B277" s="513" t="s">
        <v>10</v>
      </c>
      <c r="C277" s="531">
        <v>4</v>
      </c>
      <c r="D277" s="87">
        <v>80</v>
      </c>
      <c r="E277" s="18">
        <f t="shared" ref="E277" si="7">C277*D277</f>
        <v>320</v>
      </c>
      <c r="F277" s="55"/>
      <c r="G277" s="9"/>
    </row>
    <row r="278" spans="1:7">
      <c r="A278" s="344" t="s">
        <v>439</v>
      </c>
      <c r="B278" s="513" t="s">
        <v>10</v>
      </c>
      <c r="C278" s="101">
        <v>8.3333333333333329E-2</v>
      </c>
      <c r="D278" s="87">
        <v>500</v>
      </c>
      <c r="E278" s="18">
        <f t="shared" si="6"/>
        <v>41.666666666666664</v>
      </c>
      <c r="F278" s="55"/>
      <c r="G278" s="9"/>
    </row>
    <row r="279" spans="1:7" ht="13.8" thickBot="1">
      <c r="A279" s="344" t="s">
        <v>441</v>
      </c>
      <c r="B279" s="513" t="s">
        <v>440</v>
      </c>
      <c r="C279" s="346">
        <v>1</v>
      </c>
      <c r="D279" s="87">
        <v>200</v>
      </c>
      <c r="E279" s="18">
        <f t="shared" si="6"/>
        <v>200</v>
      </c>
      <c r="F279" s="55"/>
      <c r="G279" s="9"/>
    </row>
    <row r="280" spans="1:7" ht="13.8" thickBot="1">
      <c r="A280" s="34"/>
      <c r="B280" s="34"/>
      <c r="C280" s="34"/>
      <c r="D280" s="34"/>
      <c r="E280" s="35"/>
      <c r="F280" s="21">
        <f>SUM(E273:E279)</f>
        <v>977.01833333333332</v>
      </c>
      <c r="G280" s="9"/>
    </row>
    <row r="281" spans="1:7" ht="11.25" customHeight="1" thickBot="1">
      <c r="G281" s="9"/>
    </row>
    <row r="282" spans="1:7" ht="13.8" thickBot="1">
      <c r="A282" s="24" t="s">
        <v>231</v>
      </c>
      <c r="B282" s="25"/>
      <c r="C282" s="25"/>
      <c r="D282" s="26"/>
      <c r="E282" s="27"/>
      <c r="F282" s="21">
        <f>+F280</f>
        <v>977.01833333333332</v>
      </c>
      <c r="G282" s="9"/>
    </row>
    <row r="283" spans="1:7" ht="11.25" customHeight="1">
      <c r="G283" s="9"/>
    </row>
    <row r="284" spans="1:7">
      <c r="A284" s="34" t="s">
        <v>77</v>
      </c>
      <c r="B284" s="34"/>
      <c r="C284" s="34"/>
      <c r="D284" s="35"/>
      <c r="E284" s="35"/>
      <c r="F284" s="33"/>
    </row>
    <row r="285" spans="1:7" ht="11.25" customHeight="1" thickBot="1"/>
    <row r="286" spans="1:7" ht="13.8" thickBot="1">
      <c r="A286" s="60" t="s">
        <v>64</v>
      </c>
      <c r="B286" s="61" t="s">
        <v>65</v>
      </c>
      <c r="C286" s="61" t="s">
        <v>42</v>
      </c>
      <c r="D286" s="62" t="s">
        <v>237</v>
      </c>
      <c r="E286" s="62" t="s">
        <v>66</v>
      </c>
      <c r="F286" s="63" t="s">
        <v>67</v>
      </c>
    </row>
    <row r="287" spans="1:7">
      <c r="A287" s="16" t="s">
        <v>228</v>
      </c>
      <c r="B287" s="53" t="s">
        <v>59</v>
      </c>
      <c r="C287" s="69">
        <f>C195</f>
        <v>1</v>
      </c>
      <c r="D287" s="89">
        <v>600</v>
      </c>
      <c r="E287" s="18">
        <f>+D287*C287</f>
        <v>600</v>
      </c>
      <c r="F287" s="55"/>
    </row>
    <row r="288" spans="1:7">
      <c r="A288" s="16" t="s">
        <v>61</v>
      </c>
      <c r="B288" s="53" t="s">
        <v>8</v>
      </c>
      <c r="C288" s="155">
        <v>60</v>
      </c>
      <c r="D288" s="80">
        <f>SUM(E287:E287)</f>
        <v>600</v>
      </c>
      <c r="E288" s="80">
        <f>+D288/C288</f>
        <v>10</v>
      </c>
      <c r="F288" s="55"/>
    </row>
    <row r="289" spans="1:7">
      <c r="A289" s="16" t="s">
        <v>229</v>
      </c>
      <c r="B289" s="17" t="s">
        <v>10</v>
      </c>
      <c r="C289" s="69">
        <f>+C287</f>
        <v>1</v>
      </c>
      <c r="D289" s="89">
        <v>110</v>
      </c>
      <c r="E289" s="18">
        <f>C289*D289</f>
        <v>110</v>
      </c>
      <c r="F289" s="55"/>
    </row>
    <row r="290" spans="1:7" ht="13.8" thickBot="1">
      <c r="A290" s="16" t="s">
        <v>39</v>
      </c>
      <c r="B290" s="53" t="s">
        <v>8</v>
      </c>
      <c r="C290" s="155">
        <v>1</v>
      </c>
      <c r="D290" s="80">
        <f>+E289</f>
        <v>110</v>
      </c>
      <c r="E290" s="80">
        <f>+D290/C290</f>
        <v>110</v>
      </c>
      <c r="F290" s="55"/>
    </row>
    <row r="291" spans="1:7" ht="13.8" thickBot="1">
      <c r="A291" s="81"/>
      <c r="B291" s="81"/>
      <c r="C291" s="81"/>
      <c r="D291" s="123" t="s">
        <v>197</v>
      </c>
      <c r="E291" s="327">
        <f>E231</f>
        <v>0.68181818181818177</v>
      </c>
      <c r="F291" s="82">
        <f>(E288+E290)*E291</f>
        <v>81.818181818181813</v>
      </c>
    </row>
    <row r="292" spans="1:7" s="51" customFormat="1" ht="11.25" customHeight="1" thickBot="1">
      <c r="A292" s="9"/>
      <c r="B292" s="9"/>
      <c r="C292" s="9"/>
      <c r="D292" s="10"/>
      <c r="E292" s="10"/>
      <c r="F292" s="10"/>
      <c r="G292" s="84"/>
    </row>
    <row r="293" spans="1:7" ht="13.8" thickBot="1">
      <c r="A293" s="24" t="s">
        <v>227</v>
      </c>
      <c r="B293" s="25"/>
      <c r="C293" s="25"/>
      <c r="D293" s="26"/>
      <c r="E293" s="27"/>
      <c r="F293" s="21">
        <f>+F291</f>
        <v>81.818181818181813</v>
      </c>
    </row>
    <row r="294" spans="1:7" ht="11.25" customHeight="1" thickBot="1"/>
    <row r="295" spans="1:7" ht="17.25" customHeight="1" thickBot="1">
      <c r="A295" s="24" t="s">
        <v>232</v>
      </c>
      <c r="B295" s="28"/>
      <c r="C295" s="28"/>
      <c r="D295" s="29"/>
      <c r="E295" s="30"/>
      <c r="F295" s="22">
        <f>+F153+F187+F268+F282+F293</f>
        <v>16801.188124082822</v>
      </c>
    </row>
    <row r="296" spans="1:7" ht="11.25" customHeight="1"/>
    <row r="297" spans="1:7">
      <c r="A297" s="11" t="s">
        <v>91</v>
      </c>
    </row>
    <row r="298" spans="1:7" ht="11.25" customHeight="1" thickBot="1"/>
    <row r="299" spans="1:7" ht="13.8" thickBot="1">
      <c r="A299" s="60" t="s">
        <v>64</v>
      </c>
      <c r="B299" s="61" t="s">
        <v>65</v>
      </c>
      <c r="C299" s="61" t="s">
        <v>42</v>
      </c>
      <c r="D299" s="62" t="s">
        <v>237</v>
      </c>
      <c r="E299" s="62" t="s">
        <v>66</v>
      </c>
      <c r="F299" s="63" t="s">
        <v>67</v>
      </c>
    </row>
    <row r="300" spans="1:7" ht="13.8" thickBot="1">
      <c r="A300" s="13" t="s">
        <v>38</v>
      </c>
      <c r="B300" s="14" t="s">
        <v>2</v>
      </c>
      <c r="C300" s="141">
        <f>'7.BDI'!C21*100</f>
        <v>24.84</v>
      </c>
      <c r="D300" s="15">
        <f>+F295</f>
        <v>16801.188124082822</v>
      </c>
      <c r="E300" s="15">
        <f>C300*D300/100</f>
        <v>4173.4151300221729</v>
      </c>
    </row>
    <row r="301" spans="1:7" ht="13.8" thickBot="1">
      <c r="F301" s="21">
        <f>+E300</f>
        <v>4173.4151300221729</v>
      </c>
    </row>
    <row r="302" spans="1:7" ht="11.25" customHeight="1" thickBot="1"/>
    <row r="303" spans="1:7" ht="13.8" thickBot="1">
      <c r="A303" s="24" t="s">
        <v>242</v>
      </c>
      <c r="B303" s="28"/>
      <c r="C303" s="28"/>
      <c r="D303" s="29"/>
      <c r="E303" s="30"/>
      <c r="F303" s="22">
        <f>F301</f>
        <v>4173.4151300221729</v>
      </c>
    </row>
    <row r="304" spans="1:7">
      <c r="A304" s="34"/>
      <c r="B304" s="34"/>
      <c r="C304" s="34"/>
      <c r="D304" s="35"/>
      <c r="E304" s="35"/>
      <c r="F304" s="33"/>
    </row>
    <row r="305" spans="1:7" ht="11.25" customHeight="1" thickBot="1"/>
    <row r="306" spans="1:7" ht="24.75" customHeight="1" thickBot="1">
      <c r="A306" s="24" t="s">
        <v>233</v>
      </c>
      <c r="B306" s="28"/>
      <c r="C306" s="28"/>
      <c r="D306" s="29"/>
      <c r="E306" s="30"/>
      <c r="F306" s="22">
        <f>F295+F303</f>
        <v>20974.603254104994</v>
      </c>
    </row>
    <row r="307" spans="1:7" ht="12.6" customHeight="1">
      <c r="A307" s="56"/>
      <c r="B307" s="56"/>
      <c r="C307" s="56"/>
      <c r="D307" s="57"/>
      <c r="E307" s="57"/>
      <c r="F307" s="57"/>
    </row>
    <row r="308" spans="1:7" ht="13.8" hidden="1">
      <c r="A308" s="8"/>
      <c r="B308" s="8"/>
      <c r="C308" s="8"/>
      <c r="D308" s="36"/>
      <c r="E308" s="36"/>
    </row>
    <row r="309" spans="1:7" ht="16.2" hidden="1" customHeight="1">
      <c r="A309" s="252" t="s">
        <v>226</v>
      </c>
      <c r="B309" s="253"/>
      <c r="C309" s="253"/>
      <c r="D309" s="254"/>
      <c r="E309" s="255" t="s">
        <v>27</v>
      </c>
      <c r="G309" s="10" t="s">
        <v>207</v>
      </c>
    </row>
    <row r="310" spans="1:7" hidden="1"/>
    <row r="311" spans="1:7" ht="25.5" hidden="1" customHeight="1" thickBot="1">
      <c r="A311" s="24" t="s">
        <v>71</v>
      </c>
      <c r="B311" s="25"/>
      <c r="C311" s="25"/>
      <c r="D311" s="26"/>
      <c r="E311" s="256" t="s">
        <v>34</v>
      </c>
      <c r="F311" s="257" t="str">
        <f>IFERROR(F306/D309,"-")</f>
        <v>-</v>
      </c>
      <c r="G311" s="10" t="s">
        <v>207</v>
      </c>
    </row>
    <row r="312" spans="1:7" ht="12.6" hidden="1" customHeight="1">
      <c r="A312" s="34"/>
      <c r="B312" s="34"/>
      <c r="C312" s="34"/>
      <c r="D312" s="35"/>
      <c r="E312" s="35"/>
      <c r="F312" s="35"/>
    </row>
    <row r="313" spans="1:7" s="4" customFormat="1" ht="9.75" hidden="1" customHeight="1">
      <c r="A313" s="39"/>
      <c r="B313" s="10"/>
      <c r="C313" s="10"/>
      <c r="D313" s="10"/>
      <c r="E313" s="10"/>
      <c r="F313" s="10"/>
      <c r="G313" s="6"/>
    </row>
    <row r="314" spans="1:7" s="4" customFormat="1" ht="9.75" hidden="1" customHeight="1">
      <c r="A314" s="39"/>
      <c r="B314" s="10"/>
      <c r="C314" s="10"/>
      <c r="D314" s="10"/>
      <c r="E314" s="10"/>
      <c r="F314" s="10"/>
      <c r="G314" s="6"/>
    </row>
    <row r="315" spans="1:7" s="4" customFormat="1" ht="9.75" hidden="1" customHeight="1">
      <c r="A315" s="39"/>
      <c r="B315" s="10"/>
      <c r="C315" s="10"/>
      <c r="D315" s="10"/>
      <c r="E315" s="10"/>
      <c r="F315" s="10"/>
      <c r="G315" s="6"/>
    </row>
    <row r="316" spans="1:7">
      <c r="F316" s="44"/>
    </row>
    <row r="317" spans="1:7">
      <c r="F317" s="618"/>
    </row>
    <row r="345" spans="4:7" ht="9" customHeight="1">
      <c r="D345" s="9"/>
      <c r="E345" s="9"/>
      <c r="F345" s="9"/>
      <c r="G345" s="9"/>
    </row>
  </sheetData>
  <mergeCells count="7">
    <mergeCell ref="A49:D49"/>
    <mergeCell ref="A26:C26"/>
    <mergeCell ref="A12:F12"/>
    <mergeCell ref="A13:F13"/>
    <mergeCell ref="A42:D42"/>
    <mergeCell ref="A15:F15"/>
    <mergeCell ref="A41:E41"/>
  </mergeCells>
  <phoneticPr fontId="23" type="noConversion"/>
  <hyperlinks>
    <hyperlink ref="A209" location="AbaRemun" display="3.1.2. Remuneração do Capital"/>
    <hyperlink ref="A193" location="AbaDeprec" display="3.1.1. Depreciação"/>
  </hyperlinks>
  <pageMargins left="0.9055118110236221" right="0.51181102362204722" top="0.74803149606299213" bottom="0.74803149606299213" header="0.31496062992125984" footer="0.31496062992125984"/>
  <pageSetup paperSize="9" scale="77" fitToHeight="4" orientation="portrait" verticalDpi="300" r:id="rId1"/>
  <headerFooter alignWithMargins="0">
    <oddFooter>&amp;R&amp;P de &amp;N</oddFooter>
  </headerFooter>
  <rowBreaks count="2" manualBreakCount="2">
    <brk id="125" max="5" man="1"/>
    <brk id="208" max="5" man="1"/>
  </row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4"/>
  <sheetViews>
    <sheetView workbookViewId="0"/>
  </sheetViews>
  <sheetFormatPr defaultRowHeight="14.4"/>
  <cols>
    <col min="1" max="1" width="8.88671875" style="329"/>
    <col min="2" max="2" width="18.88671875" style="329" customWidth="1"/>
    <col min="3" max="3" width="26.21875" style="329" customWidth="1"/>
    <col min="4" max="5" width="8.88671875" style="329"/>
    <col min="6" max="6" width="13.33203125" style="329" customWidth="1"/>
    <col min="7" max="7" width="8.88671875" style="329"/>
    <col min="8" max="11" width="0" style="329" hidden="1" customWidth="1"/>
    <col min="12" max="16384" width="8.88671875" style="329"/>
  </cols>
  <sheetData>
    <row r="1" spans="1:12" ht="15.6">
      <c r="A1" s="353" t="s">
        <v>555</v>
      </c>
    </row>
    <row r="2" spans="1:12">
      <c r="A2" s="328" t="s">
        <v>340</v>
      </c>
    </row>
    <row r="3" spans="1:12">
      <c r="A3" s="328" t="s">
        <v>322</v>
      </c>
    </row>
    <row r="4" spans="1:12">
      <c r="A4" s="330" t="s">
        <v>323</v>
      </c>
      <c r="B4" s="330" t="s">
        <v>324</v>
      </c>
      <c r="C4" s="330" t="s">
        <v>325</v>
      </c>
      <c r="D4" s="330" t="s">
        <v>326</v>
      </c>
      <c r="E4" s="330" t="s">
        <v>327</v>
      </c>
      <c r="F4" s="330" t="s">
        <v>328</v>
      </c>
    </row>
    <row r="5" spans="1:12">
      <c r="A5" s="331">
        <v>2</v>
      </c>
      <c r="B5" s="330" t="s">
        <v>392</v>
      </c>
      <c r="C5" s="330" t="s">
        <v>561</v>
      </c>
      <c r="D5" s="332">
        <v>0.29166666666666669</v>
      </c>
      <c r="E5" s="332">
        <v>0.64583333333333337</v>
      </c>
      <c r="F5" s="332">
        <v>0.3125</v>
      </c>
      <c r="I5" s="329">
        <v>15</v>
      </c>
      <c r="J5" s="340">
        <v>12</v>
      </c>
    </row>
    <row r="6" spans="1:12">
      <c r="A6" s="331">
        <v>2</v>
      </c>
      <c r="B6" s="330" t="s">
        <v>392</v>
      </c>
      <c r="C6" s="330" t="s">
        <v>500</v>
      </c>
      <c r="D6" s="332">
        <v>0.29166666666666669</v>
      </c>
      <c r="E6" s="332">
        <v>0.58333333333333337</v>
      </c>
      <c r="F6" s="332">
        <v>0.25</v>
      </c>
      <c r="I6" s="329">
        <v>12</v>
      </c>
      <c r="J6" s="340">
        <v>3</v>
      </c>
    </row>
    <row r="7" spans="1:12">
      <c r="A7" s="331">
        <v>2</v>
      </c>
      <c r="B7" s="330" t="s">
        <v>393</v>
      </c>
      <c r="C7" s="330" t="s">
        <v>562</v>
      </c>
      <c r="D7" s="332">
        <v>0.29166666666666669</v>
      </c>
      <c r="E7" s="332">
        <v>0.58333333333333337</v>
      </c>
      <c r="F7" s="332">
        <v>0.25</v>
      </c>
      <c r="I7" s="329">
        <f>I5+I6</f>
        <v>27</v>
      </c>
      <c r="J7" s="340">
        <f>SUM(J5:J6)</f>
        <v>15</v>
      </c>
    </row>
    <row r="8" spans="1:12">
      <c r="A8" s="509">
        <v>2</v>
      </c>
      <c r="B8" s="469" t="s">
        <v>501</v>
      </c>
      <c r="C8" s="469" t="s">
        <v>503</v>
      </c>
      <c r="D8" s="510">
        <v>0.60416666666666663</v>
      </c>
      <c r="E8" s="510">
        <v>0.85416666666666663</v>
      </c>
      <c r="F8" s="510">
        <v>0.25</v>
      </c>
      <c r="I8" s="329">
        <f>I7/4</f>
        <v>6.75</v>
      </c>
      <c r="J8" s="530">
        <f>J7/2.5</f>
        <v>6</v>
      </c>
    </row>
    <row r="9" spans="1:12">
      <c r="A9" s="509">
        <v>2</v>
      </c>
      <c r="B9" s="469" t="s">
        <v>502</v>
      </c>
      <c r="C9" s="469" t="s">
        <v>504</v>
      </c>
      <c r="D9" s="510">
        <v>0.60416666666666663</v>
      </c>
      <c r="E9" s="510">
        <v>0.85416666666666663</v>
      </c>
      <c r="F9" s="510">
        <v>0.25</v>
      </c>
    </row>
    <row r="10" spans="1:12">
      <c r="A10" s="330"/>
      <c r="B10" s="330"/>
      <c r="C10" s="330"/>
      <c r="D10" s="330"/>
      <c r="E10" s="330"/>
      <c r="F10" s="330"/>
    </row>
    <row r="11" spans="1:12">
      <c r="A11" s="331">
        <v>1</v>
      </c>
      <c r="B11" s="330" t="s">
        <v>394</v>
      </c>
      <c r="C11" s="330" t="s">
        <v>561</v>
      </c>
      <c r="D11" s="332">
        <v>0.29166666666666669</v>
      </c>
      <c r="E11" s="332">
        <v>0.64583333333333337</v>
      </c>
      <c r="F11" s="332">
        <v>0.3125</v>
      </c>
      <c r="H11" s="340"/>
      <c r="J11" s="340"/>
    </row>
    <row r="12" spans="1:12">
      <c r="A12" s="331">
        <v>1</v>
      </c>
      <c r="B12" s="330" t="s">
        <v>394</v>
      </c>
      <c r="C12" s="330" t="s">
        <v>500</v>
      </c>
      <c r="D12" s="332">
        <v>0.29166666666666669</v>
      </c>
      <c r="E12" s="332">
        <v>0.64583333333333337</v>
      </c>
      <c r="F12" s="332">
        <v>0.3125</v>
      </c>
      <c r="H12" s="340"/>
      <c r="J12" s="340"/>
    </row>
    <row r="13" spans="1:12">
      <c r="A13" s="331">
        <v>1</v>
      </c>
      <c r="B13" s="330" t="s">
        <v>395</v>
      </c>
      <c r="C13" s="330" t="s">
        <v>562</v>
      </c>
      <c r="D13" s="332">
        <v>0.29166666666666669</v>
      </c>
      <c r="E13" s="332">
        <v>0.60416666666666663</v>
      </c>
      <c r="F13" s="332">
        <v>0.27083333333333331</v>
      </c>
      <c r="H13" s="340"/>
      <c r="J13" s="340">
        <v>13</v>
      </c>
    </row>
    <row r="14" spans="1:12">
      <c r="A14" s="331">
        <v>1</v>
      </c>
      <c r="B14" s="330" t="s">
        <v>505</v>
      </c>
      <c r="C14" s="469" t="s">
        <v>503</v>
      </c>
      <c r="D14" s="510">
        <v>0.60416666666666663</v>
      </c>
      <c r="E14" s="510">
        <v>0.875</v>
      </c>
      <c r="F14" s="332">
        <v>0.27083333333333331</v>
      </c>
      <c r="H14" s="340"/>
      <c r="J14" s="340">
        <f>18/4</f>
        <v>4.5</v>
      </c>
    </row>
    <row r="15" spans="1:12">
      <c r="A15" s="331">
        <v>1</v>
      </c>
      <c r="B15" s="469" t="s">
        <v>506</v>
      </c>
      <c r="C15" s="469" t="s">
        <v>504</v>
      </c>
      <c r="D15" s="510">
        <v>0.60416666666666663</v>
      </c>
      <c r="E15" s="510">
        <v>0.875</v>
      </c>
      <c r="F15" s="510">
        <v>0.27083333333333331</v>
      </c>
      <c r="H15" s="340"/>
      <c r="J15" s="340">
        <f>SUM(J13:J14)</f>
        <v>17.5</v>
      </c>
    </row>
    <row r="16" spans="1:12">
      <c r="A16" s="331">
        <v>1</v>
      </c>
      <c r="B16" s="469" t="s">
        <v>507</v>
      </c>
      <c r="C16" s="469" t="s">
        <v>563</v>
      </c>
      <c r="D16" s="510">
        <v>0.60416666666666663</v>
      </c>
      <c r="E16" s="510">
        <v>0.64583333333333337</v>
      </c>
      <c r="F16" s="510">
        <v>4.1666666666666664E-2</v>
      </c>
      <c r="H16" s="340"/>
      <c r="I16" s="340"/>
      <c r="J16" s="530">
        <f>J15/2.5</f>
        <v>7</v>
      </c>
      <c r="L16" s="340"/>
    </row>
    <row r="17" spans="1:12">
      <c r="H17" s="340"/>
      <c r="I17" s="340"/>
      <c r="L17" s="340"/>
    </row>
    <row r="18" spans="1:12">
      <c r="A18" s="328" t="s">
        <v>396</v>
      </c>
    </row>
    <row r="19" spans="1:12">
      <c r="A19" s="333" t="s">
        <v>329</v>
      </c>
      <c r="B19" s="334"/>
      <c r="C19" s="334"/>
      <c r="D19" s="334"/>
      <c r="E19" s="334"/>
      <c r="F19" s="335">
        <v>6.75</v>
      </c>
    </row>
    <row r="20" spans="1:12">
      <c r="A20" s="336" t="s">
        <v>330</v>
      </c>
      <c r="B20" s="334"/>
      <c r="C20" s="334"/>
      <c r="D20" s="334"/>
      <c r="E20" s="334"/>
      <c r="F20" s="335">
        <v>4</v>
      </c>
    </row>
    <row r="21" spans="1:12">
      <c r="A21" s="333" t="s">
        <v>331</v>
      </c>
      <c r="B21" s="334"/>
      <c r="C21" s="334"/>
      <c r="D21" s="334"/>
      <c r="E21" s="334"/>
      <c r="F21" s="335">
        <f>F19*F20</f>
        <v>27</v>
      </c>
    </row>
    <row r="22" spans="1:12">
      <c r="A22" s="333" t="s">
        <v>332</v>
      </c>
      <c r="B22" s="334"/>
      <c r="C22" s="334"/>
      <c r="D22" s="334"/>
      <c r="E22" s="334"/>
      <c r="F22" s="335">
        <v>6</v>
      </c>
    </row>
    <row r="23" spans="1:12">
      <c r="A23" s="333" t="s">
        <v>333</v>
      </c>
      <c r="B23" s="334"/>
      <c r="C23" s="334"/>
      <c r="D23" s="334"/>
      <c r="E23" s="334"/>
      <c r="F23" s="335">
        <v>7</v>
      </c>
    </row>
    <row r="24" spans="1:12">
      <c r="A24" s="333" t="s">
        <v>334</v>
      </c>
      <c r="B24" s="334"/>
      <c r="C24" s="334"/>
      <c r="D24" s="334"/>
      <c r="E24" s="334"/>
      <c r="F24" s="335">
        <f>F21/F22</f>
        <v>4.5</v>
      </c>
    </row>
    <row r="25" spans="1:12">
      <c r="A25" s="333" t="s">
        <v>335</v>
      </c>
      <c r="B25" s="334"/>
      <c r="C25" s="334"/>
      <c r="D25" s="334"/>
      <c r="E25" s="334"/>
      <c r="F25" s="335">
        <v>30</v>
      </c>
    </row>
    <row r="26" spans="1:12">
      <c r="A26" s="337" t="s">
        <v>336</v>
      </c>
      <c r="B26" s="338"/>
      <c r="C26" s="338"/>
      <c r="D26" s="338"/>
      <c r="E26" s="338"/>
      <c r="F26" s="330">
        <f>F24*F25</f>
        <v>135</v>
      </c>
    </row>
    <row r="27" spans="1:12">
      <c r="A27" s="337" t="s">
        <v>338</v>
      </c>
      <c r="B27" s="338"/>
      <c r="C27" s="338"/>
      <c r="D27" s="338"/>
      <c r="E27" s="338"/>
      <c r="F27" s="330">
        <v>220</v>
      </c>
    </row>
    <row r="28" spans="1:12">
      <c r="A28" s="337" t="s">
        <v>339</v>
      </c>
      <c r="B28" s="338"/>
      <c r="C28" s="338"/>
      <c r="D28" s="338"/>
      <c r="E28" s="338"/>
      <c r="F28" s="339">
        <f>F26/F27</f>
        <v>0.61363636363636365</v>
      </c>
    </row>
    <row r="30" spans="1:12">
      <c r="A30" s="328" t="s">
        <v>397</v>
      </c>
    </row>
    <row r="31" spans="1:12">
      <c r="A31" s="333" t="s">
        <v>337</v>
      </c>
      <c r="B31" s="334"/>
      <c r="C31" s="334"/>
      <c r="D31" s="334"/>
      <c r="E31" s="334"/>
      <c r="F31" s="335">
        <v>7.5</v>
      </c>
    </row>
    <row r="32" spans="1:12">
      <c r="A32" s="336" t="s">
        <v>330</v>
      </c>
      <c r="B32" s="334"/>
      <c r="C32" s="334"/>
      <c r="D32" s="334"/>
      <c r="E32" s="334"/>
      <c r="F32" s="335">
        <v>4</v>
      </c>
    </row>
    <row r="33" spans="1:8">
      <c r="A33" s="333" t="s">
        <v>331</v>
      </c>
      <c r="B33" s="334"/>
      <c r="C33" s="334"/>
      <c r="D33" s="334"/>
      <c r="E33" s="334"/>
      <c r="F33" s="335">
        <f>F31*F32</f>
        <v>30</v>
      </c>
    </row>
    <row r="34" spans="1:8">
      <c r="A34" s="333" t="s">
        <v>332</v>
      </c>
      <c r="B34" s="334"/>
      <c r="C34" s="334"/>
      <c r="D34" s="334"/>
      <c r="E34" s="334"/>
      <c r="F34" s="335">
        <v>6</v>
      </c>
    </row>
    <row r="35" spans="1:8">
      <c r="A35" s="333" t="s">
        <v>333</v>
      </c>
      <c r="B35" s="334"/>
      <c r="C35" s="334"/>
      <c r="D35" s="334"/>
      <c r="E35" s="334"/>
      <c r="F35" s="335">
        <v>7</v>
      </c>
    </row>
    <row r="36" spans="1:8">
      <c r="A36" s="333" t="s">
        <v>334</v>
      </c>
      <c r="B36" s="334"/>
      <c r="C36" s="334"/>
      <c r="D36" s="334"/>
      <c r="E36" s="334"/>
      <c r="F36" s="345">
        <f>F33/F34</f>
        <v>5</v>
      </c>
    </row>
    <row r="37" spans="1:8">
      <c r="A37" s="333" t="s">
        <v>335</v>
      </c>
      <c r="B37" s="334"/>
      <c r="C37" s="334"/>
      <c r="D37" s="334"/>
      <c r="E37" s="334"/>
      <c r="F37" s="335">
        <v>30</v>
      </c>
    </row>
    <row r="38" spans="1:8">
      <c r="A38" s="337" t="s">
        <v>336</v>
      </c>
      <c r="B38" s="338"/>
      <c r="C38" s="338"/>
      <c r="D38" s="338"/>
      <c r="E38" s="338"/>
      <c r="F38" s="347">
        <f>F36*F37</f>
        <v>150</v>
      </c>
    </row>
    <row r="39" spans="1:8">
      <c r="A39" s="337" t="s">
        <v>338</v>
      </c>
      <c r="B39" s="338"/>
      <c r="C39" s="338"/>
      <c r="D39" s="338"/>
      <c r="E39" s="338"/>
      <c r="F39" s="330">
        <v>220</v>
      </c>
    </row>
    <row r="40" spans="1:8">
      <c r="A40" s="337" t="s">
        <v>339</v>
      </c>
      <c r="B40" s="338"/>
      <c r="C40" s="338"/>
      <c r="D40" s="338"/>
      <c r="E40" s="338"/>
      <c r="F40" s="339">
        <f>F38/F39</f>
        <v>0.68181818181818177</v>
      </c>
    </row>
    <row r="42" spans="1:8">
      <c r="A42" s="328" t="s">
        <v>508</v>
      </c>
    </row>
    <row r="43" spans="1:8">
      <c r="A43" s="333" t="s">
        <v>329</v>
      </c>
      <c r="B43" s="334"/>
      <c r="C43" s="334"/>
      <c r="D43" s="334"/>
      <c r="E43" s="334"/>
      <c r="F43" s="335">
        <v>6</v>
      </c>
    </row>
    <row r="44" spans="1:8">
      <c r="A44" s="336" t="s">
        <v>330</v>
      </c>
      <c r="B44" s="334"/>
      <c r="C44" s="334"/>
      <c r="D44" s="334"/>
      <c r="E44" s="334"/>
      <c r="F44" s="335">
        <v>2.5</v>
      </c>
    </row>
    <row r="45" spans="1:8">
      <c r="A45" s="333" t="s">
        <v>331</v>
      </c>
      <c r="B45" s="334"/>
      <c r="C45" s="334"/>
      <c r="D45" s="334"/>
      <c r="E45" s="334"/>
      <c r="F45" s="335">
        <f>F43*F44</f>
        <v>15</v>
      </c>
      <c r="H45" s="511"/>
    </row>
    <row r="46" spans="1:8">
      <c r="A46" s="333" t="s">
        <v>332</v>
      </c>
      <c r="B46" s="334"/>
      <c r="C46" s="334"/>
      <c r="D46" s="334"/>
      <c r="E46" s="334"/>
      <c r="F46" s="335">
        <v>6</v>
      </c>
    </row>
    <row r="47" spans="1:8">
      <c r="A47" s="333" t="s">
        <v>333</v>
      </c>
      <c r="B47" s="334"/>
      <c r="C47" s="334"/>
      <c r="D47" s="334"/>
      <c r="E47" s="334"/>
      <c r="F47" s="335">
        <v>7</v>
      </c>
    </row>
    <row r="48" spans="1:8">
      <c r="A48" s="333" t="s">
        <v>334</v>
      </c>
      <c r="B48" s="334"/>
      <c r="C48" s="334"/>
      <c r="D48" s="334"/>
      <c r="E48" s="334"/>
      <c r="F48" s="345">
        <f>F45/F46</f>
        <v>2.5</v>
      </c>
    </row>
    <row r="49" spans="1:6">
      <c r="A49" s="333" t="s">
        <v>335</v>
      </c>
      <c r="B49" s="334"/>
      <c r="C49" s="334"/>
      <c r="D49" s="334"/>
      <c r="E49" s="334"/>
      <c r="F49" s="335">
        <v>30</v>
      </c>
    </row>
    <row r="50" spans="1:6">
      <c r="A50" s="337" t="s">
        <v>336</v>
      </c>
      <c r="B50" s="338"/>
      <c r="C50" s="338"/>
      <c r="D50" s="338"/>
      <c r="E50" s="338"/>
      <c r="F50" s="330">
        <f>F48*F49</f>
        <v>75</v>
      </c>
    </row>
    <row r="51" spans="1:6">
      <c r="A51" s="337" t="s">
        <v>338</v>
      </c>
      <c r="B51" s="338"/>
      <c r="C51" s="338"/>
      <c r="D51" s="338"/>
      <c r="E51" s="338"/>
      <c r="F51" s="330">
        <v>220</v>
      </c>
    </row>
    <row r="52" spans="1:6">
      <c r="A52" s="337" t="s">
        <v>339</v>
      </c>
      <c r="B52" s="338"/>
      <c r="C52" s="338"/>
      <c r="D52" s="338"/>
      <c r="E52" s="338"/>
      <c r="F52" s="339">
        <f>F50/F51</f>
        <v>0.34090909090909088</v>
      </c>
    </row>
    <row r="54" spans="1:6">
      <c r="A54" s="328" t="s">
        <v>509</v>
      </c>
    </row>
    <row r="55" spans="1:6">
      <c r="A55" s="333" t="s">
        <v>337</v>
      </c>
      <c r="B55" s="334"/>
      <c r="C55" s="334"/>
      <c r="D55" s="334"/>
      <c r="E55" s="334"/>
      <c r="F55" s="335">
        <v>7</v>
      </c>
    </row>
    <row r="56" spans="1:6">
      <c r="A56" s="336" t="s">
        <v>330</v>
      </c>
      <c r="B56" s="334"/>
      <c r="C56" s="334"/>
      <c r="D56" s="334"/>
      <c r="E56" s="334"/>
      <c r="F56" s="335">
        <v>2.5</v>
      </c>
    </row>
    <row r="57" spans="1:6">
      <c r="A57" s="333" t="s">
        <v>331</v>
      </c>
      <c r="B57" s="334"/>
      <c r="C57" s="334"/>
      <c r="D57" s="334"/>
      <c r="E57" s="334"/>
      <c r="F57" s="335">
        <f>F55*F56</f>
        <v>17.5</v>
      </c>
    </row>
    <row r="58" spans="1:6">
      <c r="A58" s="333" t="s">
        <v>332</v>
      </c>
      <c r="B58" s="334"/>
      <c r="C58" s="334"/>
      <c r="D58" s="334"/>
      <c r="E58" s="334"/>
      <c r="F58" s="335">
        <v>6</v>
      </c>
    </row>
    <row r="59" spans="1:6">
      <c r="A59" s="333" t="s">
        <v>333</v>
      </c>
      <c r="B59" s="334"/>
      <c r="C59" s="334"/>
      <c r="D59" s="334"/>
      <c r="E59" s="334"/>
      <c r="F59" s="335">
        <v>7</v>
      </c>
    </row>
    <row r="60" spans="1:6">
      <c r="A60" s="333" t="s">
        <v>334</v>
      </c>
      <c r="B60" s="334"/>
      <c r="C60" s="334"/>
      <c r="D60" s="334"/>
      <c r="E60" s="334"/>
      <c r="F60" s="345">
        <f>F57/F58</f>
        <v>2.9166666666666665</v>
      </c>
    </row>
    <row r="61" spans="1:6">
      <c r="A61" s="333" t="s">
        <v>335</v>
      </c>
      <c r="B61" s="334"/>
      <c r="C61" s="334"/>
      <c r="D61" s="334"/>
      <c r="E61" s="334"/>
      <c r="F61" s="335">
        <v>30</v>
      </c>
    </row>
    <row r="62" spans="1:6">
      <c r="A62" s="337" t="s">
        <v>336</v>
      </c>
      <c r="B62" s="338"/>
      <c r="C62" s="338"/>
      <c r="D62" s="338"/>
      <c r="E62" s="338"/>
      <c r="F62" s="347">
        <f>F60*F61</f>
        <v>87.5</v>
      </c>
    </row>
    <row r="63" spans="1:6">
      <c r="A63" s="337" t="s">
        <v>338</v>
      </c>
      <c r="B63" s="338"/>
      <c r="C63" s="338"/>
      <c r="D63" s="338"/>
      <c r="E63" s="338"/>
      <c r="F63" s="330">
        <v>220</v>
      </c>
    </row>
    <row r="64" spans="1:6">
      <c r="A64" s="337" t="s">
        <v>339</v>
      </c>
      <c r="B64" s="338"/>
      <c r="C64" s="338"/>
      <c r="D64" s="338"/>
      <c r="E64" s="338"/>
      <c r="F64" s="339">
        <f>F62/F63</f>
        <v>0.39772727272727271</v>
      </c>
    </row>
  </sheetData>
  <pageMargins left="0.51181102362204722" right="0.51181102362204722" top="0.78740157480314965" bottom="0.78740157480314965" header="0.31496062992125984" footer="0.31496062992125984"/>
  <pageSetup paperSize="9" scale="84" orientation="portrait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57"/>
  <sheetViews>
    <sheetView workbookViewId="0"/>
  </sheetViews>
  <sheetFormatPr defaultRowHeight="14.4"/>
  <cols>
    <col min="1" max="1" width="17.77734375" style="575" customWidth="1"/>
    <col min="2" max="2" width="12" style="575" customWidth="1"/>
    <col min="3" max="3" width="13.77734375" style="575" customWidth="1"/>
    <col min="4" max="4" width="13.21875" style="575" customWidth="1"/>
    <col min="5" max="5" width="9" style="575" customWidth="1"/>
    <col min="6" max="6" width="8" style="575" customWidth="1"/>
    <col min="7" max="7" width="4.5546875" style="575" customWidth="1"/>
    <col min="8" max="8" width="17.6640625" style="575" customWidth="1"/>
    <col min="9" max="9" width="16.5546875" style="575" customWidth="1"/>
    <col min="10" max="10" width="9.33203125" style="575" customWidth="1"/>
    <col min="11" max="12" width="10.5546875" style="575" customWidth="1"/>
    <col min="13" max="13" width="10" style="575" customWidth="1"/>
    <col min="14" max="14" width="38.5546875" style="575" customWidth="1"/>
    <col min="15" max="15" width="5.44140625" style="575" bestFit="1" customWidth="1"/>
    <col min="16" max="16" width="1.88671875" style="575" bestFit="1" customWidth="1"/>
    <col min="17" max="17" width="15.77734375" style="575" customWidth="1"/>
    <col min="18" max="18" width="5.5546875" style="575" customWidth="1"/>
    <col min="19" max="19" width="6.33203125" style="575" customWidth="1"/>
    <col min="20" max="16384" width="8.88671875" style="575"/>
  </cols>
  <sheetData>
    <row r="1" spans="1:24" ht="15" thickBot="1"/>
    <row r="2" spans="1:24" ht="15" customHeight="1" thickBot="1">
      <c r="A2" s="668" t="s">
        <v>453</v>
      </c>
      <c r="B2" s="669"/>
      <c r="C2" s="669"/>
      <c r="D2" s="669"/>
      <c r="E2" s="670"/>
      <c r="G2" s="668" t="s">
        <v>553</v>
      </c>
      <c r="H2" s="669"/>
      <c r="I2" s="669"/>
      <c r="J2" s="669"/>
      <c r="K2" s="670"/>
      <c r="L2" s="576"/>
      <c r="M2" s="671" t="s">
        <v>554</v>
      </c>
      <c r="N2" s="672"/>
      <c r="O2" s="672"/>
      <c r="P2" s="672"/>
      <c r="Q2" s="672"/>
      <c r="R2" s="673"/>
      <c r="T2" s="577"/>
      <c r="U2" s="577"/>
      <c r="V2" s="577"/>
      <c r="W2" s="577"/>
    </row>
    <row r="3" spans="1:24" ht="15" customHeight="1" thickBot="1">
      <c r="A3" s="674"/>
      <c r="B3" s="675"/>
      <c r="C3" s="675"/>
      <c r="D3" s="675"/>
      <c r="E3" s="676"/>
      <c r="F3" s="579"/>
      <c r="G3" s="674"/>
      <c r="H3" s="675"/>
      <c r="I3" s="675"/>
      <c r="J3" s="675"/>
      <c r="K3" s="676"/>
      <c r="L3" s="576"/>
      <c r="M3" s="677"/>
      <c r="N3" s="678"/>
      <c r="O3" s="678"/>
      <c r="P3" s="678"/>
      <c r="Q3" s="678"/>
      <c r="R3" s="679"/>
      <c r="T3" s="579"/>
      <c r="U3" s="579"/>
      <c r="V3" s="579"/>
      <c r="W3" s="579"/>
      <c r="X3" s="578"/>
    </row>
    <row r="4" spans="1:24" ht="15" customHeight="1" thickBot="1">
      <c r="A4" s="680" t="s">
        <v>375</v>
      </c>
      <c r="B4" s="681"/>
      <c r="C4" s="681"/>
      <c r="D4" s="681"/>
      <c r="E4" s="682"/>
      <c r="F4" s="579"/>
      <c r="G4" s="668" t="s">
        <v>454</v>
      </c>
      <c r="H4" s="669"/>
      <c r="I4" s="669"/>
      <c r="J4" s="669"/>
      <c r="K4" s="670"/>
      <c r="L4" s="580"/>
      <c r="M4" s="683" t="s">
        <v>455</v>
      </c>
      <c r="N4" s="684"/>
      <c r="O4" s="684"/>
      <c r="P4" s="684"/>
      <c r="Q4" s="684"/>
      <c r="R4" s="685"/>
      <c r="T4" s="577"/>
      <c r="U4" s="577"/>
      <c r="V4" s="577"/>
      <c r="W4" s="577"/>
      <c r="X4" s="577"/>
    </row>
    <row r="5" spans="1:24" ht="15" customHeight="1">
      <c r="A5" s="686" t="s">
        <v>456</v>
      </c>
      <c r="B5" s="687"/>
      <c r="C5" s="687"/>
      <c r="D5" s="687"/>
      <c r="E5" s="688"/>
      <c r="F5" s="579"/>
      <c r="G5" s="689" t="s">
        <v>457</v>
      </c>
      <c r="H5" s="690"/>
      <c r="I5" s="690"/>
      <c r="J5" s="690"/>
      <c r="K5" s="691"/>
      <c r="L5" s="580"/>
      <c r="M5" s="692" t="s">
        <v>458</v>
      </c>
      <c r="N5" s="694" t="s">
        <v>376</v>
      </c>
      <c r="O5" s="694" t="s">
        <v>377</v>
      </c>
      <c r="P5" s="694"/>
      <c r="Q5" s="694" t="s">
        <v>459</v>
      </c>
      <c r="R5" s="696" t="s">
        <v>345</v>
      </c>
      <c r="T5" s="578"/>
      <c r="U5" s="578"/>
      <c r="V5" s="578"/>
      <c r="W5" s="578"/>
      <c r="X5" s="578"/>
    </row>
    <row r="6" spans="1:24" s="582" customFormat="1">
      <c r="A6" s="583" t="s">
        <v>379</v>
      </c>
      <c r="B6" s="584" t="s">
        <v>346</v>
      </c>
      <c r="C6" s="584" t="s">
        <v>347</v>
      </c>
      <c r="D6" s="584" t="s">
        <v>344</v>
      </c>
      <c r="E6" s="585" t="s">
        <v>265</v>
      </c>
      <c r="F6" s="579"/>
      <c r="G6" s="705" t="s">
        <v>460</v>
      </c>
      <c r="H6" s="706"/>
      <c r="I6" s="707"/>
      <c r="J6" s="586">
        <v>3</v>
      </c>
      <c r="K6" s="587" t="s">
        <v>18</v>
      </c>
      <c r="L6" s="580"/>
      <c r="M6" s="693"/>
      <c r="N6" s="695"/>
      <c r="O6" s="695"/>
      <c r="P6" s="695"/>
      <c r="Q6" s="695"/>
      <c r="R6" s="697"/>
      <c r="T6" s="578"/>
      <c r="U6" s="578"/>
      <c r="V6" s="578"/>
      <c r="W6" s="578"/>
      <c r="X6" s="580"/>
    </row>
    <row r="7" spans="1:24" s="582" customFormat="1">
      <c r="A7" s="583" t="s">
        <v>349</v>
      </c>
      <c r="B7" s="584"/>
      <c r="C7" s="588" t="s">
        <v>350</v>
      </c>
      <c r="D7" s="589">
        <v>3887.4</v>
      </c>
      <c r="E7" s="590" t="s">
        <v>348</v>
      </c>
      <c r="F7" s="578"/>
      <c r="G7" s="705" t="s">
        <v>461</v>
      </c>
      <c r="H7" s="706"/>
      <c r="I7" s="707"/>
      <c r="J7" s="591">
        <f>D22</f>
        <v>71.772200000000012</v>
      </c>
      <c r="K7" s="587" t="s">
        <v>18</v>
      </c>
      <c r="L7" s="580"/>
      <c r="M7" s="592" t="s">
        <v>462</v>
      </c>
      <c r="N7" s="619" t="s">
        <v>561</v>
      </c>
      <c r="O7" s="594">
        <v>2</v>
      </c>
      <c r="P7" s="595" t="s">
        <v>380</v>
      </c>
      <c r="Q7" s="591">
        <f>J10</f>
        <v>122.1722</v>
      </c>
      <c r="R7" s="596" t="s">
        <v>18</v>
      </c>
      <c r="T7" s="578"/>
      <c r="U7" s="597"/>
      <c r="V7" s="598"/>
      <c r="W7" s="598"/>
      <c r="X7" s="580"/>
    </row>
    <row r="8" spans="1:24">
      <c r="A8" s="583" t="s">
        <v>351</v>
      </c>
      <c r="B8" s="584"/>
      <c r="C8" s="588" t="s">
        <v>352</v>
      </c>
      <c r="D8" s="589">
        <v>3201</v>
      </c>
      <c r="E8" s="590" t="s">
        <v>348</v>
      </c>
      <c r="F8" s="578"/>
      <c r="G8" s="705" t="s">
        <v>463</v>
      </c>
      <c r="H8" s="706"/>
      <c r="I8" s="707"/>
      <c r="J8" s="599">
        <v>14.5</v>
      </c>
      <c r="K8" s="587" t="s">
        <v>18</v>
      </c>
      <c r="L8" s="580"/>
      <c r="M8" s="592" t="s">
        <v>462</v>
      </c>
      <c r="N8" s="600" t="s">
        <v>464</v>
      </c>
      <c r="O8" s="594">
        <v>1</v>
      </c>
      <c r="P8" s="595" t="s">
        <v>380</v>
      </c>
      <c r="Q8" s="601">
        <v>66</v>
      </c>
      <c r="R8" s="596" t="s">
        <v>18</v>
      </c>
      <c r="T8" s="581"/>
      <c r="U8" s="579"/>
      <c r="V8" s="598"/>
      <c r="W8" s="598"/>
      <c r="X8" s="578"/>
    </row>
    <row r="9" spans="1:24" ht="15" customHeight="1">
      <c r="A9" s="583" t="s">
        <v>353</v>
      </c>
      <c r="B9" s="584"/>
      <c r="C9" s="588" t="s">
        <v>354</v>
      </c>
      <c r="D9" s="589">
        <v>4339.1000000000004</v>
      </c>
      <c r="E9" s="590" t="s">
        <v>348</v>
      </c>
      <c r="F9" s="578"/>
      <c r="G9" s="705" t="s">
        <v>465</v>
      </c>
      <c r="H9" s="706"/>
      <c r="I9" s="707"/>
      <c r="J9" s="599">
        <v>32.9</v>
      </c>
      <c r="K9" s="587" t="s">
        <v>18</v>
      </c>
      <c r="L9" s="602"/>
      <c r="M9" s="705"/>
      <c r="N9" s="706"/>
      <c r="O9" s="706"/>
      <c r="P9" s="706"/>
      <c r="Q9" s="706"/>
      <c r="R9" s="710"/>
      <c r="S9" s="578"/>
      <c r="T9" s="577"/>
      <c r="U9" s="577"/>
      <c r="V9" s="577"/>
      <c r="W9" s="577"/>
      <c r="X9" s="578"/>
    </row>
    <row r="10" spans="1:24">
      <c r="A10" s="583" t="s">
        <v>355</v>
      </c>
      <c r="B10" s="584"/>
      <c r="C10" s="588" t="s">
        <v>356</v>
      </c>
      <c r="D10" s="589">
        <v>3744.4</v>
      </c>
      <c r="E10" s="590" t="s">
        <v>348</v>
      </c>
      <c r="F10" s="578"/>
      <c r="G10" s="711" t="s">
        <v>466</v>
      </c>
      <c r="H10" s="712"/>
      <c r="I10" s="713"/>
      <c r="J10" s="603">
        <f>SUM(J6:J9)</f>
        <v>122.1722</v>
      </c>
      <c r="K10" s="604" t="s">
        <v>18</v>
      </c>
      <c r="L10" s="580"/>
      <c r="M10" s="592" t="s">
        <v>467</v>
      </c>
      <c r="N10" s="593" t="s">
        <v>468</v>
      </c>
      <c r="O10" s="594">
        <v>2</v>
      </c>
      <c r="P10" s="595" t="s">
        <v>380</v>
      </c>
      <c r="Q10" s="591">
        <f>J17</f>
        <v>119.74460000000002</v>
      </c>
      <c r="R10" s="596" t="s">
        <v>18</v>
      </c>
      <c r="T10" s="577"/>
      <c r="U10" s="577"/>
      <c r="V10" s="577"/>
      <c r="W10" s="577"/>
      <c r="X10" s="577"/>
    </row>
    <row r="11" spans="1:24" ht="15" thickBot="1">
      <c r="A11" s="583" t="s">
        <v>357</v>
      </c>
      <c r="B11" s="584"/>
      <c r="C11" s="588" t="s">
        <v>358</v>
      </c>
      <c r="D11" s="589">
        <v>4034.5</v>
      </c>
      <c r="E11" s="590" t="s">
        <v>348</v>
      </c>
      <c r="F11" s="578"/>
      <c r="G11" s="698"/>
      <c r="H11" s="699"/>
      <c r="I11" s="699"/>
      <c r="J11" s="699"/>
      <c r="K11" s="700"/>
      <c r="L11" s="580"/>
      <c r="M11" s="701"/>
      <c r="N11" s="702"/>
      <c r="O11" s="702"/>
      <c r="P11" s="702"/>
      <c r="Q11" s="702"/>
      <c r="R11" s="703"/>
      <c r="T11" s="579"/>
      <c r="U11" s="579"/>
      <c r="V11" s="579"/>
      <c r="W11" s="578"/>
      <c r="X11" s="578"/>
    </row>
    <row r="12" spans="1:24">
      <c r="A12" s="583" t="s">
        <v>359</v>
      </c>
      <c r="B12" s="584"/>
      <c r="C12" s="588" t="s">
        <v>360</v>
      </c>
      <c r="D12" s="589">
        <v>3826.9</v>
      </c>
      <c r="E12" s="590" t="s">
        <v>348</v>
      </c>
      <c r="F12" s="578"/>
      <c r="G12" s="689" t="s">
        <v>469</v>
      </c>
      <c r="H12" s="690"/>
      <c r="I12" s="690"/>
      <c r="J12" s="690"/>
      <c r="K12" s="691"/>
      <c r="L12" s="577"/>
      <c r="M12" s="704" t="s">
        <v>381</v>
      </c>
      <c r="N12" s="695"/>
      <c r="O12" s="695"/>
      <c r="P12" s="695"/>
      <c r="Q12" s="605">
        <f>(Q7*O7)+(Q8*O8)+(O10*Q10)-0.015</f>
        <v>549.81860000000006</v>
      </c>
      <c r="R12" s="606" t="s">
        <v>382</v>
      </c>
      <c r="T12" s="578"/>
      <c r="U12" s="578"/>
      <c r="V12" s="578"/>
      <c r="W12" s="578"/>
      <c r="X12" s="580"/>
    </row>
    <row r="13" spans="1:24" ht="15" customHeight="1" thickBot="1">
      <c r="A13" s="583" t="s">
        <v>361</v>
      </c>
      <c r="B13" s="584"/>
      <c r="C13" s="588" t="s">
        <v>362</v>
      </c>
      <c r="D13" s="589">
        <v>3565.2</v>
      </c>
      <c r="E13" s="590" t="s">
        <v>348</v>
      </c>
      <c r="F13" s="578"/>
      <c r="G13" s="705" t="s">
        <v>470</v>
      </c>
      <c r="H13" s="706"/>
      <c r="I13" s="707"/>
      <c r="J13" s="586">
        <v>3</v>
      </c>
      <c r="K13" s="587" t="s">
        <v>18</v>
      </c>
      <c r="L13" s="607"/>
      <c r="M13" s="708" t="s">
        <v>383</v>
      </c>
      <c r="N13" s="709"/>
      <c r="O13" s="709"/>
      <c r="P13" s="709"/>
      <c r="Q13" s="608">
        <f>((Q12/7)*30)</f>
        <v>2356.3654285714288</v>
      </c>
      <c r="R13" s="609" t="s">
        <v>382</v>
      </c>
      <c r="T13" s="578"/>
      <c r="U13" s="578"/>
      <c r="V13" s="578"/>
      <c r="W13" s="598"/>
      <c r="X13" s="580"/>
    </row>
    <row r="14" spans="1:24">
      <c r="A14" s="583" t="s">
        <v>363</v>
      </c>
      <c r="B14" s="584"/>
      <c r="C14" s="588" t="s">
        <v>384</v>
      </c>
      <c r="D14" s="589">
        <v>2497.9</v>
      </c>
      <c r="E14" s="590" t="s">
        <v>348</v>
      </c>
      <c r="F14" s="578"/>
      <c r="G14" s="705" t="s">
        <v>482</v>
      </c>
      <c r="H14" s="706"/>
      <c r="I14" s="707"/>
      <c r="J14" s="591">
        <f>D41</f>
        <v>56.944600000000015</v>
      </c>
      <c r="K14" s="587" t="s">
        <v>18</v>
      </c>
      <c r="L14" s="607"/>
      <c r="M14" s="722"/>
      <c r="N14" s="723"/>
      <c r="O14" s="723"/>
      <c r="P14" s="723"/>
      <c r="Q14" s="723"/>
      <c r="R14" s="724"/>
      <c r="T14" s="581"/>
      <c r="U14" s="610"/>
      <c r="V14" s="611"/>
      <c r="W14" s="598"/>
      <c r="X14" s="578"/>
    </row>
    <row r="15" spans="1:24" ht="15" thickBot="1">
      <c r="A15" s="583" t="s">
        <v>364</v>
      </c>
      <c r="B15" s="584"/>
      <c r="C15" s="588" t="s">
        <v>385</v>
      </c>
      <c r="D15" s="589">
        <v>5207.1000000000004</v>
      </c>
      <c r="E15" s="590" t="s">
        <v>348</v>
      </c>
      <c r="F15" s="578"/>
      <c r="G15" s="705" t="s">
        <v>471</v>
      </c>
      <c r="H15" s="706"/>
      <c r="I15" s="707"/>
      <c r="J15" s="599">
        <v>26.9</v>
      </c>
      <c r="K15" s="587" t="s">
        <v>18</v>
      </c>
      <c r="L15" s="579"/>
      <c r="M15" s="725"/>
      <c r="N15" s="726"/>
      <c r="O15" s="726"/>
      <c r="P15" s="726"/>
      <c r="Q15" s="726"/>
      <c r="R15" s="727"/>
      <c r="T15" s="577"/>
      <c r="U15" s="577"/>
      <c r="V15" s="577"/>
      <c r="W15" s="598"/>
      <c r="X15" s="578"/>
    </row>
    <row r="16" spans="1:24" ht="15" thickBot="1">
      <c r="A16" s="583" t="s">
        <v>365</v>
      </c>
      <c r="B16" s="584"/>
      <c r="C16" s="588" t="s">
        <v>386</v>
      </c>
      <c r="D16" s="589">
        <v>3658.8</v>
      </c>
      <c r="E16" s="590" t="s">
        <v>348</v>
      </c>
      <c r="F16" s="578"/>
      <c r="G16" s="705" t="s">
        <v>465</v>
      </c>
      <c r="H16" s="706"/>
      <c r="I16" s="707"/>
      <c r="J16" s="599">
        <v>32.9</v>
      </c>
      <c r="K16" s="587" t="s">
        <v>18</v>
      </c>
      <c r="L16" s="579"/>
      <c r="M16" s="683" t="s">
        <v>472</v>
      </c>
      <c r="N16" s="684"/>
      <c r="O16" s="684"/>
      <c r="P16" s="684"/>
      <c r="Q16" s="684"/>
      <c r="R16" s="685"/>
      <c r="T16" s="579"/>
      <c r="U16" s="579"/>
      <c r="V16" s="579"/>
      <c r="W16" s="577"/>
      <c r="X16" s="578"/>
    </row>
    <row r="17" spans="1:24" ht="15.75" customHeight="1">
      <c r="A17" s="583" t="s">
        <v>366</v>
      </c>
      <c r="B17" s="584"/>
      <c r="C17" s="588" t="s">
        <v>387</v>
      </c>
      <c r="D17" s="589">
        <v>5907.8</v>
      </c>
      <c r="E17" s="590" t="s">
        <v>348</v>
      </c>
      <c r="F17" s="578"/>
      <c r="G17" s="711" t="s">
        <v>466</v>
      </c>
      <c r="H17" s="712"/>
      <c r="I17" s="713"/>
      <c r="J17" s="603">
        <f>SUM(J13:J16)</f>
        <v>119.74460000000002</v>
      </c>
      <c r="K17" s="604" t="s">
        <v>18</v>
      </c>
      <c r="L17" s="579"/>
      <c r="M17" s="692" t="s">
        <v>458</v>
      </c>
      <c r="N17" s="694" t="s">
        <v>376</v>
      </c>
      <c r="O17" s="694" t="s">
        <v>377</v>
      </c>
      <c r="P17" s="694"/>
      <c r="Q17" s="694" t="s">
        <v>459</v>
      </c>
      <c r="R17" s="696" t="s">
        <v>345</v>
      </c>
      <c r="T17" s="578"/>
      <c r="U17" s="597"/>
      <c r="V17" s="612"/>
      <c r="W17" s="577"/>
      <c r="X17" s="578"/>
    </row>
    <row r="18" spans="1:24" ht="15" customHeight="1" thickBot="1">
      <c r="A18" s="583" t="s">
        <v>367</v>
      </c>
      <c r="B18" s="584"/>
      <c r="C18" s="588" t="s">
        <v>388</v>
      </c>
      <c r="D18" s="589">
        <v>5698.9</v>
      </c>
      <c r="E18" s="590" t="s">
        <v>348</v>
      </c>
      <c r="F18" s="578"/>
      <c r="G18" s="698"/>
      <c r="H18" s="699"/>
      <c r="I18" s="699"/>
      <c r="J18" s="699"/>
      <c r="K18" s="700"/>
      <c r="L18" s="579"/>
      <c r="M18" s="693"/>
      <c r="N18" s="695"/>
      <c r="O18" s="695"/>
      <c r="P18" s="695"/>
      <c r="Q18" s="695"/>
      <c r="R18" s="697"/>
      <c r="T18" s="597"/>
      <c r="U18" s="578"/>
      <c r="V18" s="612"/>
      <c r="W18" s="577"/>
      <c r="X18" s="578"/>
    </row>
    <row r="19" spans="1:24" ht="15" customHeight="1">
      <c r="A19" s="583" t="s">
        <v>368</v>
      </c>
      <c r="B19" s="584"/>
      <c r="C19" s="588" t="s">
        <v>389</v>
      </c>
      <c r="D19" s="589">
        <v>7375.6</v>
      </c>
      <c r="E19" s="590" t="s">
        <v>348</v>
      </c>
      <c r="F19" s="578"/>
      <c r="G19" s="714"/>
      <c r="H19" s="715"/>
      <c r="I19" s="715"/>
      <c r="J19" s="715"/>
      <c r="K19" s="716"/>
      <c r="L19" s="579"/>
      <c r="M19" s="592" t="s">
        <v>462</v>
      </c>
      <c r="N19" s="619" t="s">
        <v>564</v>
      </c>
      <c r="O19" s="594">
        <v>1</v>
      </c>
      <c r="P19" s="595" t="s">
        <v>380</v>
      </c>
      <c r="Q19" s="591">
        <f>J27</f>
        <v>101.77220000000001</v>
      </c>
      <c r="R19" s="596" t="s">
        <v>18</v>
      </c>
      <c r="T19" s="577"/>
      <c r="U19" s="610"/>
      <c r="V19" s="613"/>
      <c r="W19" s="577"/>
      <c r="X19" s="578"/>
    </row>
    <row r="20" spans="1:24" ht="15" customHeight="1" thickBot="1">
      <c r="A20" s="583" t="s">
        <v>369</v>
      </c>
      <c r="B20" s="584" t="s">
        <v>473</v>
      </c>
      <c r="C20" s="588" t="s">
        <v>390</v>
      </c>
      <c r="D20" s="589">
        <v>11300</v>
      </c>
      <c r="E20" s="590" t="s">
        <v>348</v>
      </c>
      <c r="F20" s="578"/>
      <c r="G20" s="717"/>
      <c r="H20" s="718"/>
      <c r="I20" s="718"/>
      <c r="J20" s="718"/>
      <c r="K20" s="719"/>
      <c r="L20" s="579"/>
      <c r="M20" s="701"/>
      <c r="N20" s="702"/>
      <c r="O20" s="702"/>
      <c r="P20" s="702"/>
      <c r="Q20" s="702"/>
      <c r="R20" s="703"/>
      <c r="W20" s="577"/>
    </row>
    <row r="21" spans="1:24" ht="15" customHeight="1" thickBot="1">
      <c r="A21" s="583" t="s">
        <v>370</v>
      </c>
      <c r="B21" s="584"/>
      <c r="C21" s="588" t="s">
        <v>391</v>
      </c>
      <c r="D21" s="589">
        <v>3527.6</v>
      </c>
      <c r="E21" s="590" t="s">
        <v>348</v>
      </c>
      <c r="F21" s="578"/>
      <c r="G21" s="668" t="s">
        <v>474</v>
      </c>
      <c r="H21" s="669"/>
      <c r="I21" s="669"/>
      <c r="J21" s="669"/>
      <c r="K21" s="670"/>
      <c r="L21" s="579"/>
      <c r="M21" s="592" t="s">
        <v>467</v>
      </c>
      <c r="N21" s="593" t="s">
        <v>475</v>
      </c>
      <c r="O21" s="594">
        <v>1</v>
      </c>
      <c r="P21" s="595" t="s">
        <v>380</v>
      </c>
      <c r="Q21" s="591">
        <f>J34</f>
        <v>96.404600000000016</v>
      </c>
      <c r="R21" s="596" t="s">
        <v>18</v>
      </c>
      <c r="W21" s="577"/>
    </row>
    <row r="22" spans="1:24" ht="15" thickBot="1">
      <c r="A22" s="720" t="s">
        <v>371</v>
      </c>
      <c r="B22" s="721"/>
      <c r="C22" s="721"/>
      <c r="D22" s="614">
        <f>SUM(D7:D21)/1000</f>
        <v>71.772200000000012</v>
      </c>
      <c r="E22" s="615" t="s">
        <v>18</v>
      </c>
      <c r="F22" s="578"/>
      <c r="G22" s="689" t="s">
        <v>457</v>
      </c>
      <c r="H22" s="690"/>
      <c r="I22" s="690"/>
      <c r="J22" s="690"/>
      <c r="K22" s="691"/>
      <c r="L22" s="579"/>
      <c r="M22" s="701"/>
      <c r="N22" s="702"/>
      <c r="O22" s="702"/>
      <c r="P22" s="702"/>
      <c r="Q22" s="702"/>
      <c r="R22" s="703"/>
    </row>
    <row r="23" spans="1:24">
      <c r="A23" s="714"/>
      <c r="B23" s="715"/>
      <c r="C23" s="715"/>
      <c r="D23" s="715"/>
      <c r="E23" s="716"/>
      <c r="F23" s="578"/>
      <c r="G23" s="705" t="s">
        <v>460</v>
      </c>
      <c r="H23" s="706"/>
      <c r="I23" s="707"/>
      <c r="J23" s="586">
        <v>3</v>
      </c>
      <c r="K23" s="587" t="s">
        <v>18</v>
      </c>
      <c r="L23" s="579"/>
      <c r="M23" s="738" t="s">
        <v>476</v>
      </c>
      <c r="N23" s="695" t="s">
        <v>477</v>
      </c>
      <c r="O23" s="739">
        <f>(1/30)*7</f>
        <v>0.23333333333333334</v>
      </c>
      <c r="P23" s="740" t="s">
        <v>380</v>
      </c>
      <c r="Q23" s="733">
        <f>J41</f>
        <v>182.64729999999997</v>
      </c>
      <c r="R23" s="734" t="s">
        <v>18</v>
      </c>
    </row>
    <row r="24" spans="1:24" ht="15" thickBot="1">
      <c r="A24" s="717"/>
      <c r="B24" s="718"/>
      <c r="C24" s="718"/>
      <c r="D24" s="718"/>
      <c r="E24" s="719"/>
      <c r="F24" s="578"/>
      <c r="G24" s="705" t="s">
        <v>461</v>
      </c>
      <c r="H24" s="706"/>
      <c r="I24" s="707"/>
      <c r="J24" s="591">
        <f>D22</f>
        <v>71.772200000000012</v>
      </c>
      <c r="K24" s="587" t="s">
        <v>18</v>
      </c>
      <c r="L24" s="580"/>
      <c r="M24" s="738"/>
      <c r="N24" s="695"/>
      <c r="O24" s="739"/>
      <c r="P24" s="740"/>
      <c r="Q24" s="733"/>
      <c r="R24" s="734"/>
    </row>
    <row r="25" spans="1:24" ht="15" thickBot="1">
      <c r="A25" s="680" t="s">
        <v>478</v>
      </c>
      <c r="B25" s="681"/>
      <c r="C25" s="681"/>
      <c r="D25" s="681"/>
      <c r="E25" s="682"/>
      <c r="F25" s="578"/>
      <c r="G25" s="728" t="s">
        <v>479</v>
      </c>
      <c r="H25" s="729"/>
      <c r="I25" s="729"/>
      <c r="J25" s="599">
        <v>7.3</v>
      </c>
      <c r="K25" s="587" t="s">
        <v>18</v>
      </c>
      <c r="L25" s="580"/>
      <c r="M25" s="735"/>
      <c r="N25" s="736"/>
      <c r="O25" s="736"/>
      <c r="P25" s="736"/>
      <c r="Q25" s="736"/>
      <c r="R25" s="737"/>
    </row>
    <row r="26" spans="1:24">
      <c r="A26" s="686" t="s">
        <v>378</v>
      </c>
      <c r="B26" s="687"/>
      <c r="C26" s="687"/>
      <c r="D26" s="687"/>
      <c r="E26" s="688"/>
      <c r="F26" s="578"/>
      <c r="G26" s="728" t="s">
        <v>480</v>
      </c>
      <c r="H26" s="729"/>
      <c r="I26" s="729"/>
      <c r="J26" s="599">
        <v>19.7</v>
      </c>
      <c r="K26" s="587" t="s">
        <v>18</v>
      </c>
      <c r="L26" s="580"/>
      <c r="M26" s="704" t="s">
        <v>481</v>
      </c>
      <c r="N26" s="730" t="s">
        <v>565</v>
      </c>
      <c r="O26" s="731">
        <v>1</v>
      </c>
      <c r="P26" s="732" t="s">
        <v>380</v>
      </c>
      <c r="Q26" s="731">
        <v>43.2</v>
      </c>
      <c r="R26" s="741" t="s">
        <v>18</v>
      </c>
    </row>
    <row r="27" spans="1:24">
      <c r="A27" s="583" t="s">
        <v>379</v>
      </c>
      <c r="B27" s="584" t="s">
        <v>346</v>
      </c>
      <c r="C27" s="584" t="s">
        <v>347</v>
      </c>
      <c r="D27" s="584" t="s">
        <v>344</v>
      </c>
      <c r="E27" s="585" t="s">
        <v>265</v>
      </c>
      <c r="F27" s="578"/>
      <c r="G27" s="742" t="s">
        <v>466</v>
      </c>
      <c r="H27" s="743"/>
      <c r="I27" s="743"/>
      <c r="J27" s="603">
        <f>SUM(J23:J26)</f>
        <v>101.77220000000001</v>
      </c>
      <c r="K27" s="604" t="s">
        <v>18</v>
      </c>
      <c r="L27" s="577"/>
      <c r="M27" s="704"/>
      <c r="N27" s="695"/>
      <c r="O27" s="731"/>
      <c r="P27" s="732"/>
      <c r="Q27" s="731"/>
      <c r="R27" s="741"/>
    </row>
    <row r="28" spans="1:24" ht="15" thickBot="1">
      <c r="A28" s="583" t="s">
        <v>349</v>
      </c>
      <c r="B28" s="584"/>
      <c r="C28" s="588" t="s">
        <v>350</v>
      </c>
      <c r="D28" s="589">
        <v>3887.4</v>
      </c>
      <c r="E28" s="590" t="s">
        <v>348</v>
      </c>
      <c r="F28" s="578"/>
      <c r="G28" s="744"/>
      <c r="H28" s="745"/>
      <c r="I28" s="745"/>
      <c r="J28" s="745"/>
      <c r="K28" s="746"/>
      <c r="L28" s="580"/>
      <c r="M28" s="705"/>
      <c r="N28" s="706"/>
      <c r="O28" s="706"/>
      <c r="P28" s="706"/>
      <c r="Q28" s="706"/>
      <c r="R28" s="710"/>
    </row>
    <row r="29" spans="1:24">
      <c r="A29" s="583" t="s">
        <v>351</v>
      </c>
      <c r="B29" s="584"/>
      <c r="C29" s="588" t="s">
        <v>352</v>
      </c>
      <c r="D29" s="589">
        <v>3201</v>
      </c>
      <c r="E29" s="590" t="s">
        <v>348</v>
      </c>
      <c r="F29" s="578"/>
      <c r="G29" s="747" t="s">
        <v>469</v>
      </c>
      <c r="H29" s="748"/>
      <c r="I29" s="748"/>
      <c r="J29" s="748"/>
      <c r="K29" s="749"/>
      <c r="L29" s="577"/>
      <c r="M29" s="704" t="s">
        <v>381</v>
      </c>
      <c r="N29" s="695"/>
      <c r="O29" s="695"/>
      <c r="P29" s="695"/>
      <c r="Q29" s="605">
        <f>(Q19*O19)+(O21*Q21)+(O23*Q23)+(O26*Q26)</f>
        <v>283.99450333333334</v>
      </c>
      <c r="R29" s="606" t="s">
        <v>382</v>
      </c>
    </row>
    <row r="30" spans="1:24" ht="15" thickBot="1">
      <c r="A30" s="583" t="s">
        <v>353</v>
      </c>
      <c r="B30" s="584"/>
      <c r="C30" s="588" t="s">
        <v>354</v>
      </c>
      <c r="D30" s="589">
        <v>4339.1000000000004</v>
      </c>
      <c r="E30" s="590" t="s">
        <v>348</v>
      </c>
      <c r="G30" s="728" t="s">
        <v>470</v>
      </c>
      <c r="H30" s="729"/>
      <c r="I30" s="729"/>
      <c r="J30" s="586">
        <v>3</v>
      </c>
      <c r="K30" s="587" t="s">
        <v>18</v>
      </c>
      <c r="M30" s="708" t="s">
        <v>383</v>
      </c>
      <c r="N30" s="709"/>
      <c r="O30" s="709"/>
      <c r="P30" s="709"/>
      <c r="Q30" s="608">
        <f>((Q29/7)*30)-0.03</f>
        <v>1217.0893000000001</v>
      </c>
      <c r="R30" s="609" t="s">
        <v>382</v>
      </c>
    </row>
    <row r="31" spans="1:24">
      <c r="A31" s="583" t="s">
        <v>355</v>
      </c>
      <c r="B31" s="584"/>
      <c r="C31" s="588" t="s">
        <v>356</v>
      </c>
      <c r="D31" s="589">
        <v>3744.4</v>
      </c>
      <c r="E31" s="590" t="s">
        <v>348</v>
      </c>
      <c r="G31" s="728" t="s">
        <v>482</v>
      </c>
      <c r="H31" s="729"/>
      <c r="I31" s="729"/>
      <c r="J31" s="591">
        <f>D41</f>
        <v>56.944600000000015</v>
      </c>
      <c r="K31" s="587" t="s">
        <v>18</v>
      </c>
      <c r="M31" s="714"/>
      <c r="N31" s="715"/>
      <c r="O31" s="715"/>
      <c r="P31" s="715"/>
      <c r="Q31" s="715"/>
      <c r="R31" s="716"/>
    </row>
    <row r="32" spans="1:24" ht="15" thickBot="1">
      <c r="A32" s="583" t="s">
        <v>357</v>
      </c>
      <c r="B32" s="584"/>
      <c r="C32" s="588" t="s">
        <v>358</v>
      </c>
      <c r="D32" s="589">
        <v>4034.5</v>
      </c>
      <c r="E32" s="590" t="s">
        <v>348</v>
      </c>
      <c r="G32" s="728" t="s">
        <v>483</v>
      </c>
      <c r="H32" s="729"/>
      <c r="I32" s="729"/>
      <c r="J32" s="599">
        <v>16.73</v>
      </c>
      <c r="K32" s="587" t="s">
        <v>18</v>
      </c>
      <c r="M32" s="717"/>
      <c r="N32" s="718"/>
      <c r="O32" s="718"/>
      <c r="P32" s="718"/>
      <c r="Q32" s="718"/>
      <c r="R32" s="719"/>
      <c r="S32" s="578"/>
    </row>
    <row r="33" spans="1:19" ht="15" thickBot="1">
      <c r="A33" s="583" t="s">
        <v>359</v>
      </c>
      <c r="B33" s="584"/>
      <c r="C33" s="588" t="s">
        <v>360</v>
      </c>
      <c r="D33" s="589">
        <v>3826.9</v>
      </c>
      <c r="E33" s="590" t="s">
        <v>348</v>
      </c>
      <c r="G33" s="728" t="s">
        <v>480</v>
      </c>
      <c r="H33" s="729"/>
      <c r="I33" s="729"/>
      <c r="J33" s="599">
        <v>19.73</v>
      </c>
      <c r="K33" s="587" t="s">
        <v>18</v>
      </c>
      <c r="M33" s="683" t="s">
        <v>484</v>
      </c>
      <c r="N33" s="684"/>
      <c r="O33" s="684"/>
      <c r="P33" s="684"/>
      <c r="Q33" s="684"/>
      <c r="R33" s="685"/>
      <c r="S33" s="578"/>
    </row>
    <row r="34" spans="1:19" ht="15" customHeight="1">
      <c r="A34" s="583" t="s">
        <v>361</v>
      </c>
      <c r="B34" s="584"/>
      <c r="C34" s="588" t="s">
        <v>362</v>
      </c>
      <c r="D34" s="589">
        <v>3565.2</v>
      </c>
      <c r="E34" s="590" t="s">
        <v>348</v>
      </c>
      <c r="G34" s="742" t="s">
        <v>466</v>
      </c>
      <c r="H34" s="743"/>
      <c r="I34" s="743"/>
      <c r="J34" s="603">
        <f>SUM(J30:J33)</f>
        <v>96.404600000000016</v>
      </c>
      <c r="K34" s="604" t="s">
        <v>18</v>
      </c>
      <c r="M34" s="692" t="s">
        <v>458</v>
      </c>
      <c r="N34" s="694" t="s">
        <v>376</v>
      </c>
      <c r="O34" s="694" t="s">
        <v>377</v>
      </c>
      <c r="P34" s="694"/>
      <c r="Q34" s="694" t="s">
        <v>459</v>
      </c>
      <c r="R34" s="696" t="s">
        <v>345</v>
      </c>
    </row>
    <row r="35" spans="1:19" ht="15" thickBot="1">
      <c r="A35" s="583" t="s">
        <v>363</v>
      </c>
      <c r="B35" s="584"/>
      <c r="C35" s="588" t="s">
        <v>384</v>
      </c>
      <c r="D35" s="589">
        <v>2497.9</v>
      </c>
      <c r="E35" s="590" t="s">
        <v>348</v>
      </c>
      <c r="G35" s="744"/>
      <c r="H35" s="745"/>
      <c r="I35" s="745"/>
      <c r="J35" s="745"/>
      <c r="K35" s="746"/>
      <c r="M35" s="693"/>
      <c r="N35" s="695"/>
      <c r="O35" s="695"/>
      <c r="P35" s="695"/>
      <c r="Q35" s="695"/>
      <c r="R35" s="697"/>
    </row>
    <row r="36" spans="1:19">
      <c r="A36" s="583" t="s">
        <v>364</v>
      </c>
      <c r="B36" s="584"/>
      <c r="C36" s="588" t="s">
        <v>385</v>
      </c>
      <c r="D36" s="589">
        <v>5207.1000000000004</v>
      </c>
      <c r="E36" s="590" t="s">
        <v>348</v>
      </c>
      <c r="G36" s="747" t="s">
        <v>485</v>
      </c>
      <c r="H36" s="748"/>
      <c r="I36" s="748"/>
      <c r="J36" s="748"/>
      <c r="K36" s="749"/>
      <c r="M36" s="592" t="s">
        <v>467</v>
      </c>
      <c r="N36" s="593" t="s">
        <v>486</v>
      </c>
      <c r="O36" s="616">
        <f xml:space="preserve"> (1/30)*7</f>
        <v>0.23333333333333334</v>
      </c>
      <c r="P36" s="595" t="s">
        <v>380</v>
      </c>
      <c r="Q36" s="591">
        <f>J51</f>
        <v>96.344600000000014</v>
      </c>
      <c r="R36" s="596" t="s">
        <v>18</v>
      </c>
    </row>
    <row r="37" spans="1:19">
      <c r="A37" s="583" t="s">
        <v>365</v>
      </c>
      <c r="B37" s="584"/>
      <c r="C37" s="588" t="s">
        <v>386</v>
      </c>
      <c r="D37" s="589">
        <v>3658.8</v>
      </c>
      <c r="E37" s="590" t="s">
        <v>348</v>
      </c>
      <c r="G37" s="728" t="s">
        <v>487</v>
      </c>
      <c r="H37" s="729"/>
      <c r="I37" s="729"/>
      <c r="J37" s="586">
        <v>3</v>
      </c>
      <c r="K37" s="587" t="s">
        <v>18</v>
      </c>
      <c r="M37" s="750"/>
      <c r="N37" s="751"/>
      <c r="O37" s="751"/>
      <c r="P37" s="751"/>
      <c r="Q37" s="751"/>
      <c r="R37" s="752"/>
    </row>
    <row r="38" spans="1:19">
      <c r="A38" s="583" t="s">
        <v>366</v>
      </c>
      <c r="B38" s="584"/>
      <c r="C38" s="588" t="s">
        <v>387</v>
      </c>
      <c r="D38" s="589">
        <v>5907.8</v>
      </c>
      <c r="E38" s="590" t="s">
        <v>348</v>
      </c>
      <c r="G38" s="728" t="s">
        <v>488</v>
      </c>
      <c r="H38" s="729"/>
      <c r="I38" s="729"/>
      <c r="J38" s="591">
        <f>D56</f>
        <v>144.04729999999998</v>
      </c>
      <c r="K38" s="587" t="s">
        <v>18</v>
      </c>
      <c r="M38" s="704" t="s">
        <v>381</v>
      </c>
      <c r="N38" s="695"/>
      <c r="O38" s="695"/>
      <c r="P38" s="695"/>
      <c r="Q38" s="605">
        <f>(Q36*O36)</f>
        <v>22.480406666666671</v>
      </c>
      <c r="R38" s="606" t="s">
        <v>382</v>
      </c>
    </row>
    <row r="39" spans="1:19" ht="15" thickBot="1">
      <c r="A39" s="583" t="s">
        <v>367</v>
      </c>
      <c r="B39" s="584"/>
      <c r="C39" s="588" t="s">
        <v>388</v>
      </c>
      <c r="D39" s="589">
        <v>5698.9</v>
      </c>
      <c r="E39" s="590" t="s">
        <v>348</v>
      </c>
      <c r="G39" s="728" t="s">
        <v>489</v>
      </c>
      <c r="H39" s="729"/>
      <c r="I39" s="729"/>
      <c r="J39" s="599">
        <v>15.9</v>
      </c>
      <c r="K39" s="587" t="s">
        <v>18</v>
      </c>
      <c r="M39" s="708" t="s">
        <v>383</v>
      </c>
      <c r="N39" s="709"/>
      <c r="O39" s="709"/>
      <c r="P39" s="709"/>
      <c r="Q39" s="608">
        <f>((Q38/7)*30)</f>
        <v>96.344600000000014</v>
      </c>
      <c r="R39" s="609" t="s">
        <v>382</v>
      </c>
    </row>
    <row r="40" spans="1:19">
      <c r="A40" s="583" t="s">
        <v>368</v>
      </c>
      <c r="B40" s="584"/>
      <c r="C40" s="588" t="s">
        <v>389</v>
      </c>
      <c r="D40" s="589">
        <v>7375.6</v>
      </c>
      <c r="E40" s="590" t="s">
        <v>348</v>
      </c>
      <c r="G40" s="728" t="s">
        <v>480</v>
      </c>
      <c r="H40" s="729"/>
      <c r="I40" s="729"/>
      <c r="J40" s="599">
        <v>19.7</v>
      </c>
      <c r="K40" s="587" t="s">
        <v>18</v>
      </c>
    </row>
    <row r="41" spans="1:19" ht="15" thickBot="1">
      <c r="A41" s="720" t="s">
        <v>371</v>
      </c>
      <c r="B41" s="721"/>
      <c r="C41" s="721"/>
      <c r="D41" s="614">
        <f>SUM(D28:D40)/1000</f>
        <v>56.944600000000015</v>
      </c>
      <c r="E41" s="615" t="s">
        <v>18</v>
      </c>
      <c r="G41" s="742" t="s">
        <v>466</v>
      </c>
      <c r="H41" s="743"/>
      <c r="I41" s="743"/>
      <c r="J41" s="603">
        <f>SUM(J37:J40)</f>
        <v>182.64729999999997</v>
      </c>
      <c r="K41" s="604" t="s">
        <v>18</v>
      </c>
    </row>
    <row r="42" spans="1:19" ht="15" thickBot="1">
      <c r="A42" s="714"/>
      <c r="B42" s="715"/>
      <c r="C42" s="715"/>
      <c r="D42" s="715"/>
      <c r="E42" s="716"/>
      <c r="G42" s="744"/>
      <c r="H42" s="745"/>
      <c r="I42" s="745"/>
      <c r="J42" s="745"/>
      <c r="K42" s="746"/>
    </row>
    <row r="43" spans="1:19" ht="15" thickBot="1">
      <c r="A43" s="717"/>
      <c r="B43" s="718"/>
      <c r="C43" s="718"/>
      <c r="D43" s="718"/>
      <c r="E43" s="719"/>
      <c r="G43" s="714"/>
      <c r="H43" s="715"/>
      <c r="I43" s="715"/>
      <c r="J43" s="715"/>
      <c r="K43" s="716"/>
    </row>
    <row r="44" spans="1:19" ht="15" thickBot="1">
      <c r="A44" s="680" t="s">
        <v>490</v>
      </c>
      <c r="B44" s="681"/>
      <c r="C44" s="681"/>
      <c r="D44" s="681"/>
      <c r="E44" s="682"/>
      <c r="G44" s="717"/>
      <c r="H44" s="718"/>
      <c r="I44" s="718"/>
      <c r="J44" s="718"/>
      <c r="K44" s="719"/>
    </row>
    <row r="45" spans="1:19" ht="15" thickBot="1">
      <c r="A45" s="686" t="s">
        <v>491</v>
      </c>
      <c r="B45" s="687"/>
      <c r="C45" s="687"/>
      <c r="D45" s="687"/>
      <c r="E45" s="688"/>
      <c r="G45" s="668" t="s">
        <v>492</v>
      </c>
      <c r="H45" s="669"/>
      <c r="I45" s="669"/>
      <c r="J45" s="669"/>
      <c r="K45" s="670"/>
    </row>
    <row r="46" spans="1:19">
      <c r="A46" s="583" t="s">
        <v>379</v>
      </c>
      <c r="B46" s="584" t="s">
        <v>346</v>
      </c>
      <c r="C46" s="584" t="s">
        <v>347</v>
      </c>
      <c r="D46" s="584" t="s">
        <v>344</v>
      </c>
      <c r="E46" s="585" t="s">
        <v>265</v>
      </c>
      <c r="G46" s="753" t="s">
        <v>469</v>
      </c>
      <c r="H46" s="754"/>
      <c r="I46" s="754"/>
      <c r="J46" s="754"/>
      <c r="K46" s="755"/>
    </row>
    <row r="47" spans="1:19">
      <c r="A47" s="583" t="s">
        <v>349</v>
      </c>
      <c r="B47" s="584"/>
      <c r="C47" s="588" t="s">
        <v>350</v>
      </c>
      <c r="D47" s="589">
        <v>14426.5</v>
      </c>
      <c r="E47" s="590" t="s">
        <v>348</v>
      </c>
      <c r="G47" s="728" t="s">
        <v>470</v>
      </c>
      <c r="H47" s="729"/>
      <c r="I47" s="729"/>
      <c r="J47" s="586">
        <v>3</v>
      </c>
      <c r="K47" s="587" t="s">
        <v>18</v>
      </c>
    </row>
    <row r="48" spans="1:19">
      <c r="A48" s="583" t="s">
        <v>351</v>
      </c>
      <c r="B48" s="584"/>
      <c r="C48" s="588" t="s">
        <v>352</v>
      </c>
      <c r="D48" s="589">
        <v>15605.5</v>
      </c>
      <c r="E48" s="590" t="s">
        <v>348</v>
      </c>
      <c r="G48" s="728" t="s">
        <v>482</v>
      </c>
      <c r="H48" s="729"/>
      <c r="I48" s="729"/>
      <c r="J48" s="591">
        <f>D41</f>
        <v>56.944600000000015</v>
      </c>
      <c r="K48" s="587" t="s">
        <v>18</v>
      </c>
    </row>
    <row r="49" spans="1:11">
      <c r="A49" s="583" t="s">
        <v>353</v>
      </c>
      <c r="B49" s="584"/>
      <c r="C49" s="588" t="s">
        <v>354</v>
      </c>
      <c r="D49" s="589">
        <v>14957.5</v>
      </c>
      <c r="E49" s="590" t="s">
        <v>348</v>
      </c>
      <c r="G49" s="728" t="s">
        <v>483</v>
      </c>
      <c r="H49" s="729"/>
      <c r="I49" s="729"/>
      <c r="J49" s="599">
        <v>16.7</v>
      </c>
      <c r="K49" s="587" t="s">
        <v>18</v>
      </c>
    </row>
    <row r="50" spans="1:11">
      <c r="A50" s="583" t="s">
        <v>355</v>
      </c>
      <c r="B50" s="584"/>
      <c r="C50" s="588" t="s">
        <v>356</v>
      </c>
      <c r="D50" s="589">
        <v>15814.2</v>
      </c>
      <c r="E50" s="590" t="s">
        <v>348</v>
      </c>
      <c r="G50" s="728" t="s">
        <v>480</v>
      </c>
      <c r="H50" s="729"/>
      <c r="I50" s="729"/>
      <c r="J50" s="599">
        <v>19.7</v>
      </c>
      <c r="K50" s="587" t="s">
        <v>18</v>
      </c>
    </row>
    <row r="51" spans="1:11">
      <c r="A51" s="583" t="s">
        <v>357</v>
      </c>
      <c r="B51" s="584"/>
      <c r="C51" s="588" t="s">
        <v>358</v>
      </c>
      <c r="D51" s="589">
        <v>13835.3</v>
      </c>
      <c r="E51" s="590" t="s">
        <v>348</v>
      </c>
      <c r="G51" s="742" t="s">
        <v>466</v>
      </c>
      <c r="H51" s="743"/>
      <c r="I51" s="743"/>
      <c r="J51" s="603">
        <f>SUM(J47:J50)</f>
        <v>96.344600000000014</v>
      </c>
      <c r="K51" s="604" t="s">
        <v>18</v>
      </c>
    </row>
    <row r="52" spans="1:11" ht="15" thickBot="1">
      <c r="A52" s="583" t="s">
        <v>359</v>
      </c>
      <c r="B52" s="584"/>
      <c r="C52" s="588" t="s">
        <v>360</v>
      </c>
      <c r="D52" s="589">
        <v>16269.7</v>
      </c>
      <c r="E52" s="590" t="s">
        <v>348</v>
      </c>
      <c r="G52" s="744"/>
      <c r="H52" s="745"/>
      <c r="I52" s="745"/>
      <c r="J52" s="745"/>
      <c r="K52" s="746"/>
    </row>
    <row r="53" spans="1:11">
      <c r="A53" s="583" t="s">
        <v>361</v>
      </c>
      <c r="B53" s="584"/>
      <c r="C53" s="588" t="s">
        <v>362</v>
      </c>
      <c r="D53" s="589">
        <v>15989.1</v>
      </c>
      <c r="E53" s="590" t="s">
        <v>348</v>
      </c>
    </row>
    <row r="54" spans="1:11">
      <c r="A54" s="583" t="s">
        <v>363</v>
      </c>
      <c r="B54" s="584"/>
      <c r="C54" s="588" t="s">
        <v>384</v>
      </c>
      <c r="D54" s="589">
        <v>18413.599999999999</v>
      </c>
      <c r="E54" s="590" t="s">
        <v>348</v>
      </c>
    </row>
    <row r="55" spans="1:11">
      <c r="A55" s="583" t="s">
        <v>364</v>
      </c>
      <c r="B55" s="584"/>
      <c r="C55" s="588" t="s">
        <v>385</v>
      </c>
      <c r="D55" s="589">
        <v>18735.900000000001</v>
      </c>
      <c r="E55" s="590" t="s">
        <v>348</v>
      </c>
    </row>
    <row r="56" spans="1:11" ht="15" thickBot="1">
      <c r="A56" s="720" t="s">
        <v>371</v>
      </c>
      <c r="B56" s="721"/>
      <c r="C56" s="721"/>
      <c r="D56" s="614">
        <f>SUM(D47:D55)/1000</f>
        <v>144.04729999999998</v>
      </c>
      <c r="E56" s="615" t="s">
        <v>18</v>
      </c>
    </row>
    <row r="57" spans="1:11">
      <c r="D57" s="617"/>
    </row>
  </sheetData>
  <mergeCells count="109">
    <mergeCell ref="G50:I50"/>
    <mergeCell ref="G51:I51"/>
    <mergeCell ref="G52:K52"/>
    <mergeCell ref="A56:C56"/>
    <mergeCell ref="A45:E45"/>
    <mergeCell ref="G45:K45"/>
    <mergeCell ref="G46:K46"/>
    <mergeCell ref="G47:I47"/>
    <mergeCell ref="G48:I48"/>
    <mergeCell ref="G49:I49"/>
    <mergeCell ref="G40:I40"/>
    <mergeCell ref="A41:C41"/>
    <mergeCell ref="G41:I41"/>
    <mergeCell ref="A42:E43"/>
    <mergeCell ref="G42:K42"/>
    <mergeCell ref="G43:K44"/>
    <mergeCell ref="A44:E44"/>
    <mergeCell ref="G36:K36"/>
    <mergeCell ref="G37:I37"/>
    <mergeCell ref="M37:R37"/>
    <mergeCell ref="G38:I38"/>
    <mergeCell ref="M38:P38"/>
    <mergeCell ref="G39:I39"/>
    <mergeCell ref="M39:P39"/>
    <mergeCell ref="G34:I34"/>
    <mergeCell ref="M34:M35"/>
    <mergeCell ref="N34:N35"/>
    <mergeCell ref="O34:P35"/>
    <mergeCell ref="Q34:Q35"/>
    <mergeCell ref="R34:R35"/>
    <mergeCell ref="G35:K35"/>
    <mergeCell ref="G30:I30"/>
    <mergeCell ref="M30:P30"/>
    <mergeCell ref="G31:I31"/>
    <mergeCell ref="M31:R32"/>
    <mergeCell ref="G32:I32"/>
    <mergeCell ref="G33:I33"/>
    <mergeCell ref="M33:R33"/>
    <mergeCell ref="Q26:Q27"/>
    <mergeCell ref="R26:R27"/>
    <mergeCell ref="G27:I27"/>
    <mergeCell ref="G28:K28"/>
    <mergeCell ref="M28:R28"/>
    <mergeCell ref="G29:K29"/>
    <mergeCell ref="M29:P29"/>
    <mergeCell ref="A26:E26"/>
    <mergeCell ref="G26:I26"/>
    <mergeCell ref="M26:M27"/>
    <mergeCell ref="N26:N27"/>
    <mergeCell ref="O26:O27"/>
    <mergeCell ref="P26:P27"/>
    <mergeCell ref="Q23:Q24"/>
    <mergeCell ref="R23:R24"/>
    <mergeCell ref="G24:I24"/>
    <mergeCell ref="A25:E25"/>
    <mergeCell ref="G25:I25"/>
    <mergeCell ref="M25:R25"/>
    <mergeCell ref="A23:E24"/>
    <mergeCell ref="G23:I23"/>
    <mergeCell ref="M23:M24"/>
    <mergeCell ref="N23:N24"/>
    <mergeCell ref="O23:O24"/>
    <mergeCell ref="P23:P24"/>
    <mergeCell ref="R17:R18"/>
    <mergeCell ref="G18:K18"/>
    <mergeCell ref="G19:K20"/>
    <mergeCell ref="M20:R20"/>
    <mergeCell ref="G21:K21"/>
    <mergeCell ref="A22:C22"/>
    <mergeCell ref="G22:K22"/>
    <mergeCell ref="M22:R22"/>
    <mergeCell ref="G14:I14"/>
    <mergeCell ref="M14:R15"/>
    <mergeCell ref="G15:I15"/>
    <mergeCell ref="G16:I16"/>
    <mergeCell ref="M16:R16"/>
    <mergeCell ref="G17:I17"/>
    <mergeCell ref="M17:M18"/>
    <mergeCell ref="N17:N18"/>
    <mergeCell ref="O17:P18"/>
    <mergeCell ref="Q17:Q18"/>
    <mergeCell ref="G12:K12"/>
    <mergeCell ref="M12:P12"/>
    <mergeCell ref="G13:I13"/>
    <mergeCell ref="M13:P13"/>
    <mergeCell ref="G6:I6"/>
    <mergeCell ref="G7:I7"/>
    <mergeCell ref="G8:I8"/>
    <mergeCell ref="G9:I9"/>
    <mergeCell ref="M9:R9"/>
    <mergeCell ref="G10:I10"/>
    <mergeCell ref="A5:E5"/>
    <mergeCell ref="G5:K5"/>
    <mergeCell ref="M5:M6"/>
    <mergeCell ref="N5:N6"/>
    <mergeCell ref="O5:P6"/>
    <mergeCell ref="Q5:Q6"/>
    <mergeCell ref="R5:R6"/>
    <mergeCell ref="G11:K11"/>
    <mergeCell ref="M11:R11"/>
    <mergeCell ref="A2:E2"/>
    <mergeCell ref="G2:K2"/>
    <mergeCell ref="M2:R2"/>
    <mergeCell ref="A3:E3"/>
    <mergeCell ref="G3:K3"/>
    <mergeCell ref="M3:R3"/>
    <mergeCell ref="A4:E4"/>
    <mergeCell ref="G4:K4"/>
    <mergeCell ref="M4:R4"/>
  </mergeCells>
  <pageMargins left="0.51181102362204722" right="0.51181102362204722" top="0.78740157480314965" bottom="0.78740157480314965" header="0.31496062992125984" footer="0.31496062992125984"/>
  <pageSetup paperSize="9" scale="61" orientation="landscape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17"/>
  <sheetViews>
    <sheetView workbookViewId="0">
      <selection activeCell="F9" sqref="F9"/>
    </sheetView>
  </sheetViews>
  <sheetFormatPr defaultColWidth="9.109375" defaultRowHeight="19.5" customHeight="1"/>
  <cols>
    <col min="1" max="1" width="24.5546875" style="1" customWidth="1"/>
    <col min="2" max="2" width="20.88671875" style="1" customWidth="1"/>
    <col min="3" max="16384" width="9.109375" style="1"/>
  </cols>
  <sheetData>
    <row r="1" spans="1:2" ht="19.5" customHeight="1" thickBot="1">
      <c r="A1" s="756" t="s">
        <v>513</v>
      </c>
      <c r="B1" s="757"/>
    </row>
    <row r="2" spans="1:2" s="108" customFormat="1" ht="19.5" customHeight="1">
      <c r="A2" s="266" t="s">
        <v>214</v>
      </c>
      <c r="B2" s="267" t="s">
        <v>288</v>
      </c>
    </row>
    <row r="3" spans="1:2" ht="19.5" customHeight="1">
      <c r="A3" s="166">
        <v>1</v>
      </c>
      <c r="B3" s="165">
        <v>33.629999999999995</v>
      </c>
    </row>
    <row r="4" spans="1:2" ht="19.5" customHeight="1">
      <c r="A4" s="166">
        <v>2</v>
      </c>
      <c r="B4" s="165">
        <v>43.13</v>
      </c>
    </row>
    <row r="5" spans="1:2" ht="19.5" customHeight="1">
      <c r="A5" s="166">
        <v>3</v>
      </c>
      <c r="B5" s="165">
        <v>48.68</v>
      </c>
    </row>
    <row r="6" spans="1:2" ht="19.5" customHeight="1">
      <c r="A6" s="166">
        <v>4</v>
      </c>
      <c r="B6" s="165">
        <v>52.62</v>
      </c>
    </row>
    <row r="7" spans="1:2" ht="19.5" customHeight="1">
      <c r="A7" s="166">
        <v>5</v>
      </c>
      <c r="B7" s="165">
        <v>55.679999999999993</v>
      </c>
    </row>
    <row r="8" spans="1:2" ht="19.5" customHeight="1">
      <c r="A8" s="166">
        <v>6</v>
      </c>
      <c r="B8" s="165">
        <v>58.18</v>
      </c>
    </row>
    <row r="9" spans="1:2" ht="19.5" customHeight="1">
      <c r="A9" s="166">
        <v>7</v>
      </c>
      <c r="B9" s="165">
        <v>60.29</v>
      </c>
    </row>
    <row r="10" spans="1:2" ht="19.5" customHeight="1">
      <c r="A10" s="166">
        <v>8</v>
      </c>
      <c r="B10" s="165">
        <v>62.12</v>
      </c>
    </row>
    <row r="11" spans="1:2" ht="19.5" customHeight="1">
      <c r="A11" s="166">
        <v>9</v>
      </c>
      <c r="B11" s="165">
        <v>63.73</v>
      </c>
    </row>
    <row r="12" spans="1:2" ht="19.5" customHeight="1">
      <c r="A12" s="166">
        <v>10</v>
      </c>
      <c r="B12" s="165">
        <v>65.180000000000007</v>
      </c>
    </row>
    <row r="13" spans="1:2" ht="19.5" customHeight="1">
      <c r="A13" s="166">
        <v>11</v>
      </c>
      <c r="B13" s="165">
        <v>66.47999999999999</v>
      </c>
    </row>
    <row r="14" spans="1:2" ht="19.5" customHeight="1">
      <c r="A14" s="166">
        <v>12</v>
      </c>
      <c r="B14" s="165">
        <v>67.67</v>
      </c>
    </row>
    <row r="15" spans="1:2" ht="19.5" customHeight="1">
      <c r="A15" s="166">
        <v>13</v>
      </c>
      <c r="B15" s="165">
        <v>68.77</v>
      </c>
    </row>
    <row r="16" spans="1:2" ht="19.5" customHeight="1">
      <c r="A16" s="166">
        <v>14</v>
      </c>
      <c r="B16" s="165">
        <v>69.789999999999992</v>
      </c>
    </row>
    <row r="17" spans="1:2" ht="19.5" customHeight="1" thickBot="1">
      <c r="A17" s="167">
        <v>15</v>
      </c>
      <c r="B17" s="168">
        <v>70.73</v>
      </c>
    </row>
  </sheetData>
  <mergeCells count="1">
    <mergeCell ref="A1:B1"/>
  </mergeCells>
  <pageMargins left="0.90551181102362199" right="0.51181102362204722" top="0.74803149606299213" bottom="0.74803149606299213" header="0.31496062992125984" footer="0.31496062992125984"/>
  <pageSetup paperSize="9" orientation="portrait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17"/>
  <sheetViews>
    <sheetView workbookViewId="0"/>
  </sheetViews>
  <sheetFormatPr defaultColWidth="9.109375" defaultRowHeight="13.2"/>
  <cols>
    <col min="1" max="1" width="70.44140625" style="1" customWidth="1"/>
    <col min="2" max="3" width="9.109375" style="1"/>
    <col min="4" max="4" width="12.88671875" style="1" bestFit="1" customWidth="1"/>
    <col min="5" max="16384" width="9.109375" style="1"/>
  </cols>
  <sheetData>
    <row r="1" spans="1:1" ht="17.399999999999999">
      <c r="A1" s="250" t="s">
        <v>514</v>
      </c>
    </row>
    <row r="2" spans="1:1">
      <c r="A2" s="247"/>
    </row>
    <row r="3" spans="1:1">
      <c r="A3" s="247" t="s">
        <v>252</v>
      </c>
    </row>
    <row r="4" spans="1:1">
      <c r="A4" s="247"/>
    </row>
    <row r="5" spans="1:1">
      <c r="A5" s="247"/>
    </row>
    <row r="6" spans="1:1">
      <c r="A6" s="247"/>
    </row>
    <row r="7" spans="1:1">
      <c r="A7" s="247"/>
    </row>
    <row r="8" spans="1:1">
      <c r="A8" s="247"/>
    </row>
    <row r="9" spans="1:1">
      <c r="A9" s="247"/>
    </row>
    <row r="10" spans="1:1">
      <c r="A10" s="247"/>
    </row>
    <row r="11" spans="1:1">
      <c r="A11" s="247"/>
    </row>
    <row r="12" spans="1:1" ht="18.600000000000001">
      <c r="A12" s="248" t="s">
        <v>234</v>
      </c>
    </row>
    <row r="13" spans="1:1" ht="15">
      <c r="A13" s="248" t="s">
        <v>110</v>
      </c>
    </row>
    <row r="14" spans="1:1" ht="15">
      <c r="A14" s="248" t="s">
        <v>115</v>
      </c>
    </row>
    <row r="15" spans="1:1" ht="18.600000000000001">
      <c r="A15" s="248" t="s">
        <v>235</v>
      </c>
    </row>
    <row r="16" spans="1:1" ht="18.600000000000001">
      <c r="A16" s="248" t="s">
        <v>236</v>
      </c>
    </row>
    <row r="17" spans="1:1" ht="15.6" thickBot="1">
      <c r="A17" s="249" t="s">
        <v>111</v>
      </c>
    </row>
  </sheetData>
  <pageMargins left="0.90551181102362199" right="0.51181102362204722" top="0.74803149606299213" bottom="0.74803149606299213" header="0.31496062992125984" footer="0.31496062992125984"/>
  <pageSetup paperSize="9" orientation="portrait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35"/>
  <sheetViews>
    <sheetView workbookViewId="0"/>
  </sheetViews>
  <sheetFormatPr defaultColWidth="9.109375" defaultRowHeight="13.2"/>
  <cols>
    <col min="1" max="1" width="58.33203125" style="278" customWidth="1"/>
    <col min="2" max="2" width="11.109375" style="278" bestFit="1" customWidth="1"/>
    <col min="3" max="3" width="13.33203125" style="278" bestFit="1" customWidth="1"/>
    <col min="4" max="16384" width="9.109375" style="278"/>
  </cols>
  <sheetData>
    <row r="1" spans="1:7">
      <c r="A1" s="11" t="s">
        <v>205</v>
      </c>
    </row>
    <row r="2" spans="1:7">
      <c r="A2" s="283" t="s">
        <v>264</v>
      </c>
    </row>
    <row r="3" spans="1:7">
      <c r="A3" s="283" t="s">
        <v>289</v>
      </c>
    </row>
    <row r="4" spans="1:7">
      <c r="A4" s="7" t="s">
        <v>287</v>
      </c>
    </row>
    <row r="5" spans="1:7">
      <c r="A5" s="7"/>
    </row>
    <row r="6" spans="1:7" s="4" customFormat="1" ht="15.6" hidden="1" customHeight="1">
      <c r="A6" s="305" t="s">
        <v>298</v>
      </c>
      <c r="B6" s="139"/>
      <c r="C6" s="139"/>
      <c r="D6" s="139"/>
      <c r="E6" s="139"/>
      <c r="F6" s="139"/>
      <c r="G6" s="6"/>
    </row>
    <row r="7" spans="1:7" s="4" customFormat="1" ht="16.5" customHeight="1">
      <c r="A7" s="349" t="s">
        <v>305</v>
      </c>
      <c r="B7" s="5"/>
      <c r="C7" s="5"/>
      <c r="D7" s="6"/>
      <c r="E7" s="6"/>
      <c r="F7" s="6"/>
      <c r="G7" s="6"/>
    </row>
    <row r="8" spans="1:7" s="4" customFormat="1" ht="16.5" customHeight="1">
      <c r="A8" s="349" t="s">
        <v>306</v>
      </c>
      <c r="B8" s="5"/>
      <c r="C8" s="5"/>
      <c r="D8" s="6"/>
      <c r="E8" s="6"/>
      <c r="F8" s="6"/>
      <c r="G8" s="6"/>
    </row>
    <row r="9" spans="1:7" ht="13.8" thickBot="1"/>
    <row r="10" spans="1:7" ht="17.399999999999999">
      <c r="A10" s="758" t="s">
        <v>515</v>
      </c>
      <c r="B10" s="759"/>
      <c r="C10" s="760"/>
    </row>
    <row r="11" spans="1:7" s="284" customFormat="1" ht="17.399999999999999">
      <c r="A11" s="299"/>
      <c r="B11" s="298"/>
      <c r="C11" s="300"/>
    </row>
    <row r="12" spans="1:7" s="108" customFormat="1" ht="13.8">
      <c r="A12" s="285" t="s">
        <v>284</v>
      </c>
      <c r="B12" s="286" t="s">
        <v>265</v>
      </c>
      <c r="C12" s="287" t="s">
        <v>145</v>
      </c>
    </row>
    <row r="13" spans="1:7" ht="13.8">
      <c r="A13" s="288" t="s">
        <v>273</v>
      </c>
      <c r="B13" s="289" t="s">
        <v>266</v>
      </c>
      <c r="C13" s="205">
        <v>10005</v>
      </c>
    </row>
    <row r="14" spans="1:7" ht="13.8">
      <c r="A14" s="204" t="s">
        <v>274</v>
      </c>
      <c r="B14" s="290" t="s">
        <v>271</v>
      </c>
      <c r="C14" s="291">
        <v>0.5</v>
      </c>
    </row>
    <row r="15" spans="1:7" ht="13.8">
      <c r="A15" s="204" t="s">
        <v>275</v>
      </c>
      <c r="B15" s="290" t="s">
        <v>272</v>
      </c>
      <c r="C15" s="292">
        <f>C13*C14/1000</f>
        <v>5.0025000000000004</v>
      </c>
    </row>
    <row r="16" spans="1:7" ht="13.8">
      <c r="A16" s="204" t="s">
        <v>281</v>
      </c>
      <c r="B16" s="290" t="s">
        <v>267</v>
      </c>
      <c r="C16" s="293">
        <f>(C15*30)</f>
        <v>150.07500000000002</v>
      </c>
    </row>
    <row r="17" spans="1:3" ht="13.8">
      <c r="A17" s="204" t="s">
        <v>277</v>
      </c>
      <c r="B17" s="290" t="s">
        <v>95</v>
      </c>
      <c r="C17" s="296">
        <v>6</v>
      </c>
    </row>
    <row r="18" spans="1:3" ht="13.8">
      <c r="A18" s="204" t="s">
        <v>276</v>
      </c>
      <c r="B18" s="290" t="s">
        <v>272</v>
      </c>
      <c r="C18" s="292">
        <f>IFERROR(C15*7/C17,0)</f>
        <v>5.8362500000000006</v>
      </c>
    </row>
    <row r="19" spans="1:3" ht="13.8">
      <c r="A19" s="288" t="s">
        <v>268</v>
      </c>
      <c r="B19" s="290" t="s">
        <v>269</v>
      </c>
      <c r="C19" s="228">
        <v>500</v>
      </c>
    </row>
    <row r="20" spans="1:3" ht="13.8">
      <c r="A20" s="204" t="s">
        <v>282</v>
      </c>
      <c r="B20" s="290"/>
      <c r="C20" s="205">
        <v>1</v>
      </c>
    </row>
    <row r="21" spans="1:3" ht="13.8">
      <c r="A21" s="288" t="s">
        <v>283</v>
      </c>
      <c r="B21" s="290" t="s">
        <v>270</v>
      </c>
      <c r="C21" s="205">
        <v>15</v>
      </c>
    </row>
    <row r="22" spans="1:3" ht="13.8">
      <c r="A22" s="204" t="s">
        <v>278</v>
      </c>
      <c r="B22" s="290" t="s">
        <v>267</v>
      </c>
      <c r="C22" s="293">
        <f>IF(AND(C21&gt;=15,C20=1),5.8,C21/2)</f>
        <v>5.8</v>
      </c>
    </row>
    <row r="23" spans="1:3" ht="13.8">
      <c r="A23" s="288" t="s">
        <v>279</v>
      </c>
      <c r="B23" s="290"/>
      <c r="C23" s="292">
        <f>IFERROR(C18/C22,0)</f>
        <v>1.0062500000000001</v>
      </c>
    </row>
    <row r="24" spans="1:3" ht="13.8">
      <c r="A24" s="288" t="s">
        <v>285</v>
      </c>
      <c r="B24" s="290"/>
      <c r="C24" s="301">
        <v>1</v>
      </c>
    </row>
    <row r="25" spans="1:3" ht="14.4" thickBot="1">
      <c r="A25" s="294" t="s">
        <v>280</v>
      </c>
      <c r="B25" s="295"/>
      <c r="C25" s="297">
        <f>IFERROR(C23/C24,0)</f>
        <v>1.0062500000000001</v>
      </c>
    </row>
    <row r="26" spans="1:3" ht="13.8">
      <c r="A26" s="314"/>
      <c r="B26" s="214"/>
      <c r="C26" s="315"/>
    </row>
    <row r="27" spans="1:3" ht="13.8">
      <c r="A27" s="314" t="s">
        <v>309</v>
      </c>
    </row>
    <row r="28" spans="1:3">
      <c r="A28" s="278" t="s">
        <v>310</v>
      </c>
    </row>
    <row r="29" spans="1:3">
      <c r="A29" s="278" t="s">
        <v>311</v>
      </c>
    </row>
    <row r="30" spans="1:3">
      <c r="A30" s="278" t="s">
        <v>307</v>
      </c>
    </row>
    <row r="31" spans="1:3">
      <c r="A31" s="278" t="s">
        <v>312</v>
      </c>
    </row>
    <row r="32" spans="1:3">
      <c r="A32" s="278" t="s">
        <v>313</v>
      </c>
    </row>
    <row r="33" spans="1:1">
      <c r="A33" s="278" t="s">
        <v>314</v>
      </c>
    </row>
    <row r="34" spans="1:1">
      <c r="A34" s="278" t="s">
        <v>315</v>
      </c>
    </row>
    <row r="35" spans="1:1">
      <c r="A35" s="278" t="s">
        <v>308</v>
      </c>
    </row>
  </sheetData>
  <mergeCells count="1">
    <mergeCell ref="A10:C10"/>
  </mergeCells>
  <conditionalFormatting sqref="C22">
    <cfRule type="expression" dxfId="0" priority="1">
      <formula>"SE(E(C20&gt;=15;C19=1))"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44"/>
  <sheetViews>
    <sheetView zoomScaleSheetLayoutView="100" workbookViewId="0"/>
  </sheetViews>
  <sheetFormatPr defaultColWidth="9.109375" defaultRowHeight="13.2"/>
  <cols>
    <col min="1" max="1" width="44.5546875" style="9" customWidth="1"/>
    <col min="2" max="2" width="16" style="9" bestFit="1" customWidth="1"/>
    <col min="3" max="3" width="11.88671875" style="9" customWidth="1"/>
    <col min="4" max="4" width="14.6640625" style="10" customWidth="1"/>
    <col min="5" max="5" width="15.44140625" style="10" customWidth="1"/>
    <col min="6" max="6" width="13.33203125" style="10" customWidth="1"/>
    <col min="7" max="7" width="28.109375" style="10" customWidth="1"/>
    <col min="8" max="8" width="9.109375" style="9"/>
    <col min="9" max="9" width="14.5546875" style="9" customWidth="1"/>
    <col min="10" max="10" width="13.44140625" style="9" customWidth="1"/>
    <col min="11" max="16384" width="9.109375" style="9"/>
  </cols>
  <sheetData>
    <row r="1" spans="1:7" ht="15.6">
      <c r="A1" s="303" t="s">
        <v>205</v>
      </c>
    </row>
    <row r="2" spans="1:7" ht="15.6">
      <c r="A2" s="349" t="s">
        <v>290</v>
      </c>
    </row>
    <row r="3" spans="1:7" ht="15.6">
      <c r="A3" s="349" t="s">
        <v>291</v>
      </c>
    </row>
    <row r="4" spans="1:7" ht="15.6">
      <c r="A4" s="349" t="s">
        <v>293</v>
      </c>
    </row>
    <row r="5" spans="1:7" s="4" customFormat="1" ht="15.6" customHeight="1">
      <c r="A5" s="303" t="s">
        <v>287</v>
      </c>
      <c r="C5" s="139"/>
      <c r="D5" s="139"/>
      <c r="E5" s="139"/>
      <c r="F5" s="139"/>
      <c r="G5" s="6"/>
    </row>
    <row r="6" spans="1:7" s="4" customFormat="1" ht="15.6" customHeight="1">
      <c r="A6" s="304" t="s">
        <v>292</v>
      </c>
      <c r="B6" s="139"/>
      <c r="C6" s="139"/>
      <c r="D6" s="139"/>
      <c r="E6" s="139"/>
      <c r="F6" s="139"/>
      <c r="G6" s="6"/>
    </row>
    <row r="7" spans="1:7" s="4" customFormat="1" ht="15.6" hidden="1" customHeight="1">
      <c r="A7" s="138"/>
      <c r="B7" s="139"/>
      <c r="C7" s="139"/>
      <c r="D7" s="139"/>
      <c r="E7" s="139"/>
      <c r="F7" s="139"/>
      <c r="G7" s="6"/>
    </row>
    <row r="8" spans="1:7" s="4" customFormat="1" ht="15.6" hidden="1" customHeight="1">
      <c r="A8" s="305" t="s">
        <v>298</v>
      </c>
      <c r="B8" s="139"/>
      <c r="C8" s="139"/>
      <c r="D8" s="139"/>
      <c r="E8" s="139"/>
      <c r="F8" s="139"/>
      <c r="G8" s="6"/>
    </row>
    <row r="9" spans="1:7" s="4" customFormat="1" ht="15.6" customHeight="1">
      <c r="A9" s="349" t="s">
        <v>295</v>
      </c>
      <c r="B9" s="139"/>
      <c r="C9" s="139"/>
      <c r="D9" s="139"/>
      <c r="E9" s="139"/>
      <c r="F9" s="139"/>
      <c r="G9" s="6"/>
    </row>
    <row r="10" spans="1:7" s="4" customFormat="1" ht="16.5" customHeight="1">
      <c r="A10" s="7"/>
      <c r="B10" s="5"/>
      <c r="C10" s="5"/>
      <c r="D10" s="6"/>
      <c r="E10" s="6"/>
      <c r="F10" s="6"/>
      <c r="G10" s="6"/>
    </row>
    <row r="11" spans="1:7" s="4" customFormat="1" ht="16.5" customHeight="1" thickBot="1">
      <c r="A11" s="352" t="s">
        <v>444</v>
      </c>
      <c r="B11" s="5"/>
      <c r="C11" s="5"/>
      <c r="D11" s="6"/>
      <c r="E11" s="6"/>
      <c r="F11" s="6"/>
      <c r="G11" s="6"/>
    </row>
    <row r="12" spans="1:7" s="8" customFormat="1" ht="17.399999999999999">
      <c r="A12" s="624" t="s">
        <v>558</v>
      </c>
      <c r="B12" s="625"/>
      <c r="C12" s="625"/>
      <c r="D12" s="625"/>
      <c r="E12" s="625"/>
      <c r="F12" s="626"/>
      <c r="G12" s="36"/>
    </row>
    <row r="13" spans="1:7" s="8" customFormat="1" ht="21.75" customHeight="1">
      <c r="A13" s="627" t="s">
        <v>45</v>
      </c>
      <c r="B13" s="628"/>
      <c r="C13" s="628"/>
      <c r="D13" s="628"/>
      <c r="E13" s="628"/>
      <c r="F13" s="629"/>
      <c r="G13" s="36"/>
    </row>
    <row r="14" spans="1:7" s="4" customFormat="1" ht="10.95" customHeight="1" thickBot="1">
      <c r="A14" s="151"/>
      <c r="B14" s="152"/>
      <c r="C14" s="152"/>
      <c r="D14" s="153"/>
      <c r="E14" s="153"/>
      <c r="F14" s="154"/>
      <c r="G14" s="6"/>
    </row>
    <row r="15" spans="1:7" s="4" customFormat="1" ht="15.75" customHeight="1" thickBot="1">
      <c r="A15" s="633" t="s">
        <v>204</v>
      </c>
      <c r="B15" s="634"/>
      <c r="C15" s="634"/>
      <c r="D15" s="634"/>
      <c r="E15" s="634"/>
      <c r="F15" s="635"/>
      <c r="G15" s="6"/>
    </row>
    <row r="16" spans="1:7" s="4" customFormat="1" ht="15.75" customHeight="1">
      <c r="A16" s="64" t="s">
        <v>203</v>
      </c>
      <c r="B16" s="40"/>
      <c r="C16" s="40"/>
      <c r="D16" s="261"/>
      <c r="E16" s="115" t="s">
        <v>40</v>
      </c>
      <c r="F16" s="41" t="s">
        <v>2</v>
      </c>
      <c r="G16" s="6"/>
    </row>
    <row r="17" spans="1:7" s="11" customFormat="1" ht="15.75" customHeight="1">
      <c r="A17" s="125" t="str">
        <f>A55</f>
        <v>1. Mão-de-obra</v>
      </c>
      <c r="B17" s="126"/>
      <c r="C17" s="127"/>
      <c r="D17" s="127"/>
      <c r="E17" s="258">
        <f>+F153</f>
        <v>4164.0987403768922</v>
      </c>
      <c r="F17" s="128">
        <f>IFERROR(E17/$E$38,0)</f>
        <v>0.35954149618507053</v>
      </c>
      <c r="G17" s="44"/>
    </row>
    <row r="18" spans="1:7" s="4" customFormat="1" ht="15.75" customHeight="1">
      <c r="A18" s="49" t="str">
        <f>A57</f>
        <v>1.1. Coletor Turno Dia</v>
      </c>
      <c r="B18" s="45"/>
      <c r="C18" s="47"/>
      <c r="D18" s="47"/>
      <c r="E18" s="259">
        <f>F68</f>
        <v>2187.7593523399087</v>
      </c>
      <c r="F18" s="58">
        <f>IFERROR(E18/$E$38,0)</f>
        <v>0.18889808332498317</v>
      </c>
      <c r="G18" s="6"/>
    </row>
    <row r="19" spans="1:7" s="4" customFormat="1" ht="15.75" hidden="1" customHeight="1">
      <c r="A19" s="49" t="str">
        <f>A70</f>
        <v>1.2. Coletor Turno Noite</v>
      </c>
      <c r="B19" s="45"/>
      <c r="C19" s="47"/>
      <c r="D19" s="47"/>
      <c r="E19" s="259">
        <f>F87</f>
        <v>0</v>
      </c>
      <c r="F19" s="58">
        <f t="shared" ref="F19:F37" si="0">IFERROR(E19/$E$38,0)</f>
        <v>0</v>
      </c>
      <c r="G19" s="6"/>
    </row>
    <row r="20" spans="1:7" s="4" customFormat="1" ht="15.75" customHeight="1">
      <c r="A20" s="49" t="str">
        <f>A89</f>
        <v>1.3. Motorista Turno do Dia</v>
      </c>
      <c r="B20" s="45"/>
      <c r="C20" s="47"/>
      <c r="D20" s="47"/>
      <c r="E20" s="259">
        <f>F102</f>
        <v>1233.2070646803409</v>
      </c>
      <c r="F20" s="58">
        <f t="shared" si="0"/>
        <v>0.10647901041391677</v>
      </c>
      <c r="G20" s="6"/>
    </row>
    <row r="21" spans="1:7" s="4" customFormat="1" ht="15.75" customHeight="1">
      <c r="A21" s="49" t="str">
        <f>A105</f>
        <v>1.4. Encarregado/Supervisor</v>
      </c>
      <c r="B21" s="45"/>
      <c r="C21" s="47"/>
      <c r="D21" s="47"/>
      <c r="E21" s="259">
        <f>F124</f>
        <v>281.83362545454548</v>
      </c>
      <c r="F21" s="58">
        <f t="shared" si="0"/>
        <v>2.4334409361776714E-2</v>
      </c>
      <c r="G21" s="6"/>
    </row>
    <row r="22" spans="1:7" s="4" customFormat="1" ht="15.75" customHeight="1">
      <c r="A22" s="49" t="str">
        <f>A126</f>
        <v>1.5. Vale Transporte</v>
      </c>
      <c r="B22" s="45"/>
      <c r="C22" s="47"/>
      <c r="D22" s="47"/>
      <c r="E22" s="259">
        <f>F132</f>
        <v>65.488061538461537</v>
      </c>
      <c r="F22" s="58">
        <f t="shared" si="0"/>
        <v>5.6544469994165691E-3</v>
      </c>
      <c r="G22" s="6"/>
    </row>
    <row r="23" spans="1:7" s="4" customFormat="1" ht="15.75" customHeight="1">
      <c r="A23" s="49" t="str">
        <f>A134</f>
        <v>1.6. Vale-refeição (diário)</v>
      </c>
      <c r="B23" s="45"/>
      <c r="C23" s="47"/>
      <c r="D23" s="47"/>
      <c r="E23" s="259">
        <f>F139</f>
        <v>356.92200000000003</v>
      </c>
      <c r="F23" s="58">
        <f t="shared" si="0"/>
        <v>3.0817777843988585E-2</v>
      </c>
      <c r="G23" s="6"/>
    </row>
    <row r="24" spans="1:7" s="4" customFormat="1" ht="15.75" customHeight="1">
      <c r="A24" s="49" t="str">
        <f>A141</f>
        <v>1.7. Auxílio Alimentação (mensal)</v>
      </c>
      <c r="B24" s="45"/>
      <c r="C24" s="47"/>
      <c r="D24" s="47"/>
      <c r="E24" s="259">
        <f>F145</f>
        <v>28.238636363636363</v>
      </c>
      <c r="F24" s="58">
        <f t="shared" si="0"/>
        <v>2.4382134530001598E-3</v>
      </c>
      <c r="G24" s="6"/>
    </row>
    <row r="25" spans="1:7" s="4" customFormat="1" ht="15.75" customHeight="1">
      <c r="A25" s="49" t="str">
        <f>A147</f>
        <v xml:space="preserve">1.8. Plano de Benefício Social  </v>
      </c>
      <c r="B25" s="45"/>
      <c r="C25" s="47"/>
      <c r="D25" s="47"/>
      <c r="E25" s="259">
        <f>F151</f>
        <v>10.649999999999999</v>
      </c>
      <c r="F25" s="58">
        <f t="shared" si="0"/>
        <v>9.1955478798863154E-4</v>
      </c>
      <c r="G25" s="6"/>
    </row>
    <row r="26" spans="1:7" s="11" customFormat="1" ht="15.75" customHeight="1">
      <c r="A26" s="622" t="str">
        <f>A155</f>
        <v>2. Uniformes e Equipamentos de Proteção Individual</v>
      </c>
      <c r="B26" s="623"/>
      <c r="C26" s="623"/>
      <c r="D26" s="127"/>
      <c r="E26" s="258">
        <f>+F187</f>
        <v>197.28219696969694</v>
      </c>
      <c r="F26" s="128">
        <f t="shared" si="0"/>
        <v>1.7033970780131562E-2</v>
      </c>
      <c r="G26" s="44"/>
    </row>
    <row r="27" spans="1:7" s="11" customFormat="1" ht="15.75" customHeight="1">
      <c r="A27" s="522" t="str">
        <f>A189</f>
        <v>3. Veículos e Equipamentos</v>
      </c>
      <c r="B27" s="137"/>
      <c r="C27" s="127"/>
      <c r="D27" s="127"/>
      <c r="E27" s="258">
        <f>+F268</f>
        <v>4511.1016201463417</v>
      </c>
      <c r="F27" s="128">
        <f t="shared" si="0"/>
        <v>0.38950282571914013</v>
      </c>
      <c r="G27" s="44"/>
    </row>
    <row r="28" spans="1:7" s="4" customFormat="1" ht="15.75" customHeight="1">
      <c r="A28" s="65" t="str">
        <f>A191</f>
        <v>3.1. Veículo Coletor com compactador</v>
      </c>
      <c r="B28" s="46"/>
      <c r="C28" s="47"/>
      <c r="D28" s="47"/>
      <c r="E28" s="259">
        <f>SUM(E29:E34)</f>
        <v>4511.1016201463417</v>
      </c>
      <c r="F28" s="144">
        <f t="shared" si="0"/>
        <v>0.38950282571914013</v>
      </c>
      <c r="G28" s="6"/>
    </row>
    <row r="29" spans="1:7" s="4" customFormat="1" ht="15.75" customHeight="1">
      <c r="A29" s="65" t="str">
        <f>A193</f>
        <v>3.1.1. Depreciação</v>
      </c>
      <c r="B29" s="46"/>
      <c r="C29" s="47"/>
      <c r="D29" s="47"/>
      <c r="E29" s="259">
        <f>F207</f>
        <v>671.08479302083356</v>
      </c>
      <c r="F29" s="144">
        <f t="shared" si="0"/>
        <v>5.7943590100344354E-2</v>
      </c>
      <c r="G29" s="6"/>
    </row>
    <row r="30" spans="1:7" s="4" customFormat="1" ht="15.75" customHeight="1">
      <c r="A30" s="65" t="str">
        <f>A209</f>
        <v>3.1.2. Remuneração do Capital</v>
      </c>
      <c r="B30" s="46"/>
      <c r="C30" s="47"/>
      <c r="D30" s="47"/>
      <c r="E30" s="259">
        <f>F223</f>
        <v>111.96552481041667</v>
      </c>
      <c r="F30" s="144">
        <f t="shared" si="0"/>
        <v>9.6674586318383649E-3</v>
      </c>
      <c r="G30" s="6"/>
    </row>
    <row r="31" spans="1:7" s="4" customFormat="1" ht="15.75" customHeight="1">
      <c r="A31" s="65" t="str">
        <f>A225</f>
        <v>3.1.3. Impostos e Seguros</v>
      </c>
      <c r="B31" s="46"/>
      <c r="C31" s="47"/>
      <c r="D31" s="47"/>
      <c r="E31" s="259">
        <f>F231</f>
        <v>149.35721868229166</v>
      </c>
      <c r="F31" s="144">
        <f t="shared" si="0"/>
        <v>1.2895976108917033E-2</v>
      </c>
      <c r="G31" s="6"/>
    </row>
    <row r="32" spans="1:7" s="4" customFormat="1" ht="15.75" customHeight="1">
      <c r="A32" s="65" t="str">
        <f>A233</f>
        <v>3.1.4. Consumos</v>
      </c>
      <c r="B32" s="46"/>
      <c r="C32" s="47"/>
      <c r="D32" s="47"/>
      <c r="E32" s="259">
        <f>F251</f>
        <v>2208.970159347085</v>
      </c>
      <c r="F32" s="144">
        <f t="shared" si="0"/>
        <v>0.19072949169498804</v>
      </c>
      <c r="G32" s="6"/>
    </row>
    <row r="33" spans="1:7" s="4" customFormat="1" ht="15.75" customHeight="1">
      <c r="A33" s="65" t="str">
        <f>A253</f>
        <v>3.1.5. Manutenção</v>
      </c>
      <c r="B33" s="46"/>
      <c r="C33" s="47"/>
      <c r="D33" s="47"/>
      <c r="E33" s="259">
        <f>F256</f>
        <v>1077.0157979999999</v>
      </c>
      <c r="F33" s="144">
        <f t="shared" si="0"/>
        <v>9.2992960919276696E-2</v>
      </c>
      <c r="G33" s="6"/>
    </row>
    <row r="34" spans="1:7" s="4" customFormat="1" ht="15.75" customHeight="1">
      <c r="A34" s="65" t="str">
        <f>A258</f>
        <v>3.1.6. Pneus</v>
      </c>
      <c r="B34" s="46"/>
      <c r="C34" s="47"/>
      <c r="D34" s="47"/>
      <c r="E34" s="259">
        <f>F265</f>
        <v>292.70812628571429</v>
      </c>
      <c r="F34" s="144">
        <f t="shared" si="0"/>
        <v>2.5273348263775551E-2</v>
      </c>
      <c r="G34" s="6"/>
    </row>
    <row r="35" spans="1:7" s="11" customFormat="1" ht="15.75" customHeight="1">
      <c r="A35" s="522" t="str">
        <f>A270</f>
        <v>4. Ferramentas e Materiais de Consumo</v>
      </c>
      <c r="B35" s="137"/>
      <c r="C35" s="127"/>
      <c r="D35" s="127"/>
      <c r="E35" s="258">
        <f>+F281</f>
        <v>357.01833333333332</v>
      </c>
      <c r="F35" s="128">
        <f t="shared" si="0"/>
        <v>3.0826095569613892E-2</v>
      </c>
      <c r="G35" s="44"/>
    </row>
    <row r="36" spans="1:7" s="11" customFormat="1" ht="15.75" customHeight="1">
      <c r="A36" s="522" t="str">
        <f>A283</f>
        <v>5. Monitoramento da Frota</v>
      </c>
      <c r="B36" s="137"/>
      <c r="C36" s="127"/>
      <c r="D36" s="127"/>
      <c r="E36" s="258">
        <f>+F292</f>
        <v>47.727272727272727</v>
      </c>
      <c r="F36" s="128">
        <f t="shared" si="0"/>
        <v>4.1209241459157627E-3</v>
      </c>
      <c r="G36" s="44"/>
    </row>
    <row r="37" spans="1:7" s="11" customFormat="1" ht="15.75" customHeight="1" thickBot="1">
      <c r="A37" s="522" t="str">
        <f>A296</f>
        <v>6. Benefícios e Despesas Indiretas - BDI</v>
      </c>
      <c r="B37" s="137"/>
      <c r="C37" s="127"/>
      <c r="D37" s="127"/>
      <c r="E37" s="260">
        <f>+F302</f>
        <v>2304.4634758266984</v>
      </c>
      <c r="F37" s="128">
        <f t="shared" si="0"/>
        <v>0.19897468760012815</v>
      </c>
      <c r="G37" s="44"/>
    </row>
    <row r="38" spans="1:7" s="4" customFormat="1" ht="15.75" customHeight="1" thickBot="1">
      <c r="A38" s="42" t="s">
        <v>241</v>
      </c>
      <c r="B38" s="43"/>
      <c r="C38" s="26"/>
      <c r="D38" s="26"/>
      <c r="E38" s="114">
        <f>E17+E26+E27+E35+E36+E37</f>
        <v>11581.691639380235</v>
      </c>
      <c r="F38" s="143">
        <f>F17+F26+F27+F35+F36+F37</f>
        <v>1</v>
      </c>
      <c r="G38" s="6"/>
    </row>
    <row r="40" spans="1:7" ht="13.8" thickBot="1"/>
    <row r="41" spans="1:7" s="4" customFormat="1" ht="15" customHeight="1" thickBot="1">
      <c r="A41" s="633" t="s">
        <v>99</v>
      </c>
      <c r="B41" s="634"/>
      <c r="C41" s="634"/>
      <c r="D41" s="634"/>
      <c r="E41" s="635"/>
      <c r="F41" s="10"/>
      <c r="G41" s="6"/>
    </row>
    <row r="42" spans="1:7" s="4" customFormat="1" ht="15" customHeight="1" thickBot="1">
      <c r="A42" s="630" t="s">
        <v>41</v>
      </c>
      <c r="B42" s="631"/>
      <c r="C42" s="631"/>
      <c r="D42" s="632"/>
      <c r="E42" s="48" t="s">
        <v>42</v>
      </c>
      <c r="F42" s="10"/>
      <c r="G42" s="6"/>
    </row>
    <row r="43" spans="1:7" s="4" customFormat="1" ht="15" customHeight="1">
      <c r="A43" s="73" t="str">
        <f>+A57</f>
        <v>1.1. Coletor Turno Dia</v>
      </c>
      <c r="B43" s="74"/>
      <c r="C43" s="74"/>
      <c r="D43" s="75"/>
      <c r="E43" s="76">
        <f>C67</f>
        <v>2</v>
      </c>
      <c r="F43" s="10"/>
      <c r="G43" s="6"/>
    </row>
    <row r="44" spans="1:7" s="4" customFormat="1" ht="15" hidden="1" customHeight="1">
      <c r="A44" s="67" t="str">
        <f>+A70</f>
        <v>1.2. Coletor Turno Noite</v>
      </c>
      <c r="B44" s="66"/>
      <c r="C44" s="66"/>
      <c r="D44" s="77"/>
      <c r="E44" s="70">
        <f>C86</f>
        <v>0</v>
      </c>
      <c r="F44" s="10"/>
      <c r="G44" s="6"/>
    </row>
    <row r="45" spans="1:7" s="4" customFormat="1" ht="15" customHeight="1">
      <c r="A45" s="67" t="str">
        <f>+A89</f>
        <v>1.3. Motorista Turno do Dia</v>
      </c>
      <c r="B45" s="66"/>
      <c r="C45" s="66"/>
      <c r="D45" s="77"/>
      <c r="E45" s="70">
        <f>C101</f>
        <v>1</v>
      </c>
      <c r="F45" s="10"/>
      <c r="G45" s="6"/>
    </row>
    <row r="46" spans="1:7" s="4" customFormat="1" ht="15" customHeight="1">
      <c r="A46" s="67" t="str">
        <f>+A105</f>
        <v>1.4. Encarregado/Supervisor</v>
      </c>
      <c r="B46" s="66"/>
      <c r="C46" s="66"/>
      <c r="D46" s="77"/>
      <c r="E46" s="70">
        <f>C123</f>
        <v>1</v>
      </c>
      <c r="F46" s="10"/>
      <c r="G46" s="6"/>
    </row>
    <row r="47" spans="1:7" s="4" customFormat="1" ht="15" customHeight="1" thickBot="1">
      <c r="A47" s="71" t="s">
        <v>60</v>
      </c>
      <c r="B47" s="72"/>
      <c r="C47" s="72"/>
      <c r="D47" s="78"/>
      <c r="E47" s="79">
        <f>SUM(E43:E46)</f>
        <v>4</v>
      </c>
      <c r="F47" s="10"/>
      <c r="G47" s="6"/>
    </row>
    <row r="48" spans="1:7" s="4" customFormat="1" ht="15" customHeight="1" thickBot="1">
      <c r="A48" s="129"/>
      <c r="B48" s="130"/>
      <c r="C48" s="59"/>
      <c r="D48" s="59"/>
      <c r="E48" s="131"/>
      <c r="F48" s="10"/>
      <c r="G48" s="6"/>
    </row>
    <row r="49" spans="1:7" s="4" customFormat="1" ht="15" customHeight="1">
      <c r="A49" s="620" t="s">
        <v>58</v>
      </c>
      <c r="B49" s="621"/>
      <c r="C49" s="621"/>
      <c r="D49" s="621"/>
      <c r="E49" s="48" t="s">
        <v>42</v>
      </c>
      <c r="F49" s="9"/>
      <c r="G49" s="6"/>
    </row>
    <row r="50" spans="1:7" s="4" customFormat="1" ht="15" customHeight="1" thickBot="1">
      <c r="A50" s="132" t="str">
        <f>+A191</f>
        <v>3.1. Veículo Coletor com compactador</v>
      </c>
      <c r="B50" s="133"/>
      <c r="C50" s="133"/>
      <c r="D50" s="134"/>
      <c r="E50" s="135">
        <f>C206</f>
        <v>1.1000000000000001</v>
      </c>
      <c r="F50" s="9"/>
      <c r="G50" s="6"/>
    </row>
    <row r="51" spans="1:7" s="4" customFormat="1" ht="15" customHeight="1">
      <c r="A51" s="59"/>
      <c r="B51" s="59"/>
      <c r="C51" s="59"/>
      <c r="D51" s="54"/>
      <c r="E51" s="251"/>
      <c r="F51" s="9"/>
      <c r="G51" s="6"/>
    </row>
    <row r="52" spans="1:7" s="4" customFormat="1" ht="13.8" thickBot="1">
      <c r="A52" s="59"/>
      <c r="B52" s="59"/>
      <c r="C52" s="59"/>
      <c r="D52" s="54"/>
      <c r="E52" s="68"/>
      <c r="F52" s="9"/>
      <c r="G52" s="6"/>
    </row>
    <row r="53" spans="1:7" s="11" customFormat="1" ht="15.75" customHeight="1" thickBot="1">
      <c r="A53" s="262" t="s">
        <v>198</v>
      </c>
      <c r="B53" s="326">
        <f>Horários!F52</f>
        <v>0.34090909090909088</v>
      </c>
      <c r="C53" s="35"/>
      <c r="D53" s="34"/>
      <c r="E53" s="156"/>
      <c r="G53" s="44"/>
    </row>
    <row r="54" spans="1:7" s="4" customFormat="1" ht="15.75" customHeight="1">
      <c r="A54" s="59"/>
      <c r="B54" s="59"/>
      <c r="C54" s="59"/>
      <c r="D54" s="54"/>
      <c r="E54" s="68"/>
      <c r="F54" s="9"/>
      <c r="G54" s="6"/>
    </row>
    <row r="55" spans="1:7" ht="13.2" customHeight="1">
      <c r="A55" s="11" t="s">
        <v>49</v>
      </c>
    </row>
    <row r="56" spans="1:7" ht="11.25" customHeight="1"/>
    <row r="57" spans="1:7" ht="13.95" customHeight="1" thickBot="1">
      <c r="A57" s="9" t="s">
        <v>102</v>
      </c>
    </row>
    <row r="58" spans="1:7" ht="13.95" customHeight="1" thickBot="1">
      <c r="A58" s="60" t="s">
        <v>64</v>
      </c>
      <c r="B58" s="61" t="s">
        <v>65</v>
      </c>
      <c r="C58" s="61" t="s">
        <v>42</v>
      </c>
      <c r="D58" s="62" t="s">
        <v>237</v>
      </c>
      <c r="E58" s="62" t="s">
        <v>66</v>
      </c>
      <c r="F58" s="63" t="s">
        <v>67</v>
      </c>
    </row>
    <row r="59" spans="1:7" ht="13.2" customHeight="1">
      <c r="A59" s="13" t="s">
        <v>219</v>
      </c>
      <c r="B59" s="14" t="s">
        <v>8</v>
      </c>
      <c r="C59" s="14">
        <v>1</v>
      </c>
      <c r="D59" s="325">
        <v>1330.73</v>
      </c>
      <c r="E59" s="15">
        <f>C59*D59</f>
        <v>1330.73</v>
      </c>
    </row>
    <row r="60" spans="1:7" hidden="1">
      <c r="A60" s="16" t="s">
        <v>36</v>
      </c>
      <c r="B60" s="17" t="s">
        <v>0</v>
      </c>
      <c r="C60" s="88"/>
      <c r="D60" s="18">
        <f>D59/220*2</f>
        <v>12.097545454545454</v>
      </c>
      <c r="E60" s="18">
        <f>C60*D60</f>
        <v>0</v>
      </c>
      <c r="G60" s="10" t="s">
        <v>253</v>
      </c>
    </row>
    <row r="61" spans="1:7" ht="13.2" hidden="1" customHeight="1">
      <c r="A61" s="16" t="s">
        <v>37</v>
      </c>
      <c r="B61" s="17" t="s">
        <v>0</v>
      </c>
      <c r="C61" s="88"/>
      <c r="D61" s="18">
        <f>D59/220*1.5</f>
        <v>9.0731590909090905</v>
      </c>
      <c r="E61" s="18">
        <f>C61*D61</f>
        <v>0</v>
      </c>
      <c r="G61" s="10" t="s">
        <v>255</v>
      </c>
    </row>
    <row r="62" spans="1:7" ht="13.2" hidden="1" customHeight="1">
      <c r="A62" s="16" t="s">
        <v>223</v>
      </c>
      <c r="B62" s="17" t="s">
        <v>35</v>
      </c>
      <c r="D62" s="18">
        <f>63/302*(SUM(E60:E61))</f>
        <v>0</v>
      </c>
      <c r="E62" s="18">
        <f>D62</f>
        <v>0</v>
      </c>
      <c r="G62" s="10" t="s">
        <v>222</v>
      </c>
    </row>
    <row r="63" spans="1:7">
      <c r="A63" s="16" t="s">
        <v>1</v>
      </c>
      <c r="B63" s="17" t="s">
        <v>2</v>
      </c>
      <c r="C63" s="17">
        <v>40</v>
      </c>
      <c r="D63" s="83">
        <f>SUM(E59:E62)</f>
        <v>1330.73</v>
      </c>
      <c r="E63" s="18">
        <f>C63*D63/100</f>
        <v>532.29199999999992</v>
      </c>
    </row>
    <row r="64" spans="1:7">
      <c r="A64" s="116" t="s">
        <v>3</v>
      </c>
      <c r="B64" s="117"/>
      <c r="C64" s="117"/>
      <c r="D64" s="118"/>
      <c r="E64" s="119">
        <f>SUM(E59:E63)</f>
        <v>1863.0219999999999</v>
      </c>
    </row>
    <row r="65" spans="1:7">
      <c r="A65" s="16" t="s">
        <v>4</v>
      </c>
      <c r="B65" s="17" t="s">
        <v>2</v>
      </c>
      <c r="C65" s="141">
        <f>'5.Enc Sociais'!$C$38*100</f>
        <v>72.231660000000005</v>
      </c>
      <c r="D65" s="18">
        <f>E64</f>
        <v>1863.0219999999999</v>
      </c>
      <c r="E65" s="18">
        <f>D65*C65/100</f>
        <v>1345.6917167652</v>
      </c>
    </row>
    <row r="66" spans="1:7">
      <c r="A66" s="116" t="s">
        <v>74</v>
      </c>
      <c r="B66" s="117"/>
      <c r="C66" s="117"/>
      <c r="D66" s="118"/>
      <c r="E66" s="119">
        <f>E64+E65</f>
        <v>3208.7137167651999</v>
      </c>
    </row>
    <row r="67" spans="1:7" ht="13.8" thickBot="1">
      <c r="A67" s="16" t="s">
        <v>5</v>
      </c>
      <c r="B67" s="17" t="s">
        <v>6</v>
      </c>
      <c r="C67" s="86">
        <v>2</v>
      </c>
      <c r="D67" s="18">
        <f>E66</f>
        <v>3208.7137167651999</v>
      </c>
      <c r="E67" s="18">
        <f>C67*D67</f>
        <v>6417.4274335303999</v>
      </c>
      <c r="G67" s="6"/>
    </row>
    <row r="68" spans="1:7" ht="13.95" customHeight="1" thickBot="1">
      <c r="A68" s="7" t="s">
        <v>437</v>
      </c>
      <c r="D68" s="123" t="s">
        <v>197</v>
      </c>
      <c r="E68" s="327">
        <f>$B$53</f>
        <v>0.34090909090909088</v>
      </c>
      <c r="F68" s="124">
        <f>E67*E68</f>
        <v>2187.7593523399087</v>
      </c>
      <c r="G68" s="6"/>
    </row>
    <row r="69" spans="1:7" ht="11.25" customHeight="1"/>
    <row r="70" spans="1:7" hidden="1">
      <c r="A70" s="9" t="s">
        <v>92</v>
      </c>
    </row>
    <row r="71" spans="1:7" ht="13.8" hidden="1" thickBot="1">
      <c r="A71" s="60" t="s">
        <v>64</v>
      </c>
      <c r="B71" s="61" t="s">
        <v>65</v>
      </c>
      <c r="C71" s="61" t="s">
        <v>42</v>
      </c>
      <c r="D71" s="62" t="s">
        <v>237</v>
      </c>
      <c r="E71" s="62" t="s">
        <v>66</v>
      </c>
      <c r="F71" s="63" t="s">
        <v>67</v>
      </c>
    </row>
    <row r="72" spans="1:7" hidden="1">
      <c r="A72" s="13" t="s">
        <v>219</v>
      </c>
      <c r="B72" s="14" t="s">
        <v>8</v>
      </c>
      <c r="C72" s="14">
        <v>1</v>
      </c>
      <c r="D72" s="15">
        <f>D59</f>
        <v>1330.73</v>
      </c>
      <c r="E72" s="15">
        <f>C72*D72</f>
        <v>1330.73</v>
      </c>
    </row>
    <row r="73" spans="1:7" hidden="1">
      <c r="A73" s="16" t="s">
        <v>7</v>
      </c>
      <c r="B73" s="17" t="s">
        <v>100</v>
      </c>
      <c r="C73" s="88"/>
      <c r="D73" s="18"/>
      <c r="E73" s="18"/>
    </row>
    <row r="74" spans="1:7" hidden="1">
      <c r="A74" s="16"/>
      <c r="B74" s="17" t="s">
        <v>104</v>
      </c>
      <c r="C74" s="120">
        <f>C73*8/7</f>
        <v>0</v>
      </c>
      <c r="D74" s="18">
        <f>D72/220*0.2</f>
        <v>1.2097545454545455</v>
      </c>
      <c r="E74" s="18">
        <f>C73*D74</f>
        <v>0</v>
      </c>
    </row>
    <row r="75" spans="1:7" hidden="1">
      <c r="A75" s="16" t="s">
        <v>36</v>
      </c>
      <c r="B75" s="17" t="s">
        <v>0</v>
      </c>
      <c r="C75" s="88"/>
      <c r="D75" s="18">
        <f>D72/220*2</f>
        <v>12.097545454545454</v>
      </c>
      <c r="E75" s="18">
        <f>C75*D75</f>
        <v>0</v>
      </c>
      <c r="G75" s="10" t="s">
        <v>253</v>
      </c>
    </row>
    <row r="76" spans="1:7" hidden="1">
      <c r="A76" s="16" t="s">
        <v>101</v>
      </c>
      <c r="B76" s="17" t="s">
        <v>100</v>
      </c>
      <c r="C76" s="88"/>
      <c r="D76" s="18"/>
      <c r="E76" s="18"/>
      <c r="G76" s="10" t="s">
        <v>254</v>
      </c>
    </row>
    <row r="77" spans="1:7" hidden="1">
      <c r="A77" s="16"/>
      <c r="B77" s="17" t="s">
        <v>104</v>
      </c>
      <c r="C77" s="120">
        <f>C76*8/7</f>
        <v>0</v>
      </c>
      <c r="D77" s="18">
        <f>D72/220*2*1.2</f>
        <v>14.517054545454544</v>
      </c>
      <c r="E77" s="18">
        <f>C77*D77</f>
        <v>0</v>
      </c>
      <c r="G77" s="10" t="s">
        <v>254</v>
      </c>
    </row>
    <row r="78" spans="1:7" hidden="1">
      <c r="A78" s="16" t="s">
        <v>37</v>
      </c>
      <c r="B78" s="17" t="s">
        <v>0</v>
      </c>
      <c r="C78" s="88"/>
      <c r="D78" s="18">
        <f>D72/220*1.5</f>
        <v>9.0731590909090905</v>
      </c>
      <c r="E78" s="18">
        <f>C78*D78</f>
        <v>0</v>
      </c>
      <c r="G78" s="10" t="s">
        <v>255</v>
      </c>
    </row>
    <row r="79" spans="1:7" hidden="1">
      <c r="A79" s="16" t="s">
        <v>221</v>
      </c>
      <c r="B79" s="17" t="s">
        <v>100</v>
      </c>
      <c r="C79" s="88"/>
      <c r="D79" s="18"/>
      <c r="E79" s="18"/>
      <c r="G79" s="10" t="s">
        <v>256</v>
      </c>
    </row>
    <row r="80" spans="1:7" hidden="1">
      <c r="A80" s="16"/>
      <c r="B80" s="17" t="s">
        <v>104</v>
      </c>
      <c r="C80" s="18">
        <f>C79*8/7</f>
        <v>0</v>
      </c>
      <c r="D80" s="18">
        <f>D72/220*1.5*1.2</f>
        <v>10.887790909090908</v>
      </c>
      <c r="E80" s="18">
        <f>C80*D80</f>
        <v>0</v>
      </c>
      <c r="G80" s="10" t="s">
        <v>256</v>
      </c>
    </row>
    <row r="81" spans="1:7" ht="13.2" hidden="1" customHeight="1">
      <c r="A81" s="16" t="s">
        <v>223</v>
      </c>
      <c r="B81" s="17" t="s">
        <v>35</v>
      </c>
      <c r="D81" s="18">
        <f>63/302*(SUM(E75:E80))</f>
        <v>0</v>
      </c>
      <c r="E81" s="18">
        <f>D81</f>
        <v>0</v>
      </c>
      <c r="G81" s="10" t="s">
        <v>222</v>
      </c>
    </row>
    <row r="82" spans="1:7" hidden="1">
      <c r="A82" s="16" t="s">
        <v>1</v>
      </c>
      <c r="B82" s="17" t="s">
        <v>2</v>
      </c>
      <c r="C82" s="17">
        <f>+C63</f>
        <v>40</v>
      </c>
      <c r="D82" s="83">
        <f>SUM(E72:E81)</f>
        <v>1330.73</v>
      </c>
      <c r="E82" s="18">
        <f>C82*D82/100</f>
        <v>532.29199999999992</v>
      </c>
    </row>
    <row r="83" spans="1:7" hidden="1">
      <c r="A83" s="116" t="s">
        <v>3</v>
      </c>
      <c r="B83" s="117"/>
      <c r="C83" s="117"/>
      <c r="D83" s="118"/>
      <c r="E83" s="119">
        <f>SUM(E72:E82)</f>
        <v>1863.0219999999999</v>
      </c>
    </row>
    <row r="84" spans="1:7" hidden="1">
      <c r="A84" s="16" t="s">
        <v>4</v>
      </c>
      <c r="B84" s="17" t="s">
        <v>2</v>
      </c>
      <c r="C84" s="141">
        <f>'5.Enc Sociais'!$C$38*100</f>
        <v>72.231660000000005</v>
      </c>
      <c r="D84" s="18">
        <f>E83</f>
        <v>1863.0219999999999</v>
      </c>
      <c r="E84" s="18">
        <f>D84*C84/100</f>
        <v>1345.6917167652</v>
      </c>
    </row>
    <row r="85" spans="1:7" hidden="1">
      <c r="A85" s="116" t="s">
        <v>74</v>
      </c>
      <c r="B85" s="117"/>
      <c r="C85" s="117"/>
      <c r="D85" s="118"/>
      <c r="E85" s="119">
        <f>E83+E84</f>
        <v>3208.7137167651999</v>
      </c>
    </row>
    <row r="86" spans="1:7" hidden="1">
      <c r="A86" s="16" t="s">
        <v>5</v>
      </c>
      <c r="B86" s="17" t="s">
        <v>6</v>
      </c>
      <c r="C86" s="86"/>
      <c r="D86" s="18">
        <f>E85</f>
        <v>3208.7137167651999</v>
      </c>
      <c r="E86" s="18">
        <f>C86*D86</f>
        <v>0</v>
      </c>
    </row>
    <row r="87" spans="1:7" ht="13.8" hidden="1" thickBot="1">
      <c r="D87" s="123" t="s">
        <v>197</v>
      </c>
      <c r="E87" s="50">
        <f>$B$53</f>
        <v>0.34090909090909088</v>
      </c>
      <c r="F87" s="124">
        <f>E86*E87</f>
        <v>0</v>
      </c>
    </row>
    <row r="88" spans="1:7" ht="11.25" customHeight="1"/>
    <row r="89" spans="1:7" ht="13.8" thickBot="1">
      <c r="A89" s="52" t="s">
        <v>103</v>
      </c>
    </row>
    <row r="90" spans="1:7" s="12" customFormat="1" ht="13.2" customHeight="1" thickBot="1">
      <c r="A90" s="60" t="s">
        <v>64</v>
      </c>
      <c r="B90" s="61" t="s">
        <v>65</v>
      </c>
      <c r="C90" s="61" t="s">
        <v>42</v>
      </c>
      <c r="D90" s="62" t="s">
        <v>237</v>
      </c>
      <c r="E90" s="62" t="s">
        <v>66</v>
      </c>
      <c r="F90" s="63" t="s">
        <v>67</v>
      </c>
      <c r="G90" s="10"/>
    </row>
    <row r="91" spans="1:7">
      <c r="A91" s="308" t="s">
        <v>296</v>
      </c>
      <c r="B91" s="14" t="s">
        <v>8</v>
      </c>
      <c r="C91" s="14">
        <v>1</v>
      </c>
      <c r="D91" s="325">
        <v>1591.27</v>
      </c>
      <c r="E91" s="15">
        <f>C91*D91</f>
        <v>1591.27</v>
      </c>
    </row>
    <row r="92" spans="1:7">
      <c r="A92" s="308" t="s">
        <v>297</v>
      </c>
      <c r="B92" s="14" t="s">
        <v>8</v>
      </c>
      <c r="C92" s="14">
        <v>1</v>
      </c>
      <c r="D92" s="87">
        <v>1045</v>
      </c>
      <c r="E92" s="15"/>
    </row>
    <row r="93" spans="1:7" hidden="1">
      <c r="A93" s="16" t="s">
        <v>36</v>
      </c>
      <c r="B93" s="17" t="s">
        <v>0</v>
      </c>
      <c r="C93" s="88"/>
      <c r="D93" s="18">
        <f>D91/220*2</f>
        <v>14.466090909090909</v>
      </c>
      <c r="E93" s="18">
        <f>C93*D93</f>
        <v>0</v>
      </c>
      <c r="G93" s="10" t="s">
        <v>253</v>
      </c>
    </row>
    <row r="94" spans="1:7" hidden="1">
      <c r="A94" s="16" t="s">
        <v>37</v>
      </c>
      <c r="B94" s="17" t="s">
        <v>0</v>
      </c>
      <c r="C94" s="88"/>
      <c r="D94" s="18">
        <f>D91/220*1.5</f>
        <v>10.849568181818182</v>
      </c>
      <c r="E94" s="18">
        <f>C94*D94</f>
        <v>0</v>
      </c>
      <c r="G94" s="10" t="s">
        <v>255</v>
      </c>
    </row>
    <row r="95" spans="1:7" ht="13.2" hidden="1" customHeight="1">
      <c r="A95" s="16" t="s">
        <v>223</v>
      </c>
      <c r="B95" s="17" t="s">
        <v>35</v>
      </c>
      <c r="D95" s="18">
        <f>63/302*(SUM(E93:E94))</f>
        <v>0</v>
      </c>
      <c r="E95" s="18">
        <f>D95</f>
        <v>0</v>
      </c>
      <c r="G95" s="10" t="s">
        <v>222</v>
      </c>
    </row>
    <row r="96" spans="1:7">
      <c r="A96" s="16" t="s">
        <v>220</v>
      </c>
      <c r="B96" s="17"/>
      <c r="C96" s="90">
        <v>1</v>
      </c>
      <c r="D96" s="18"/>
      <c r="E96" s="18"/>
    </row>
    <row r="97" spans="1:7">
      <c r="A97" s="16" t="s">
        <v>1</v>
      </c>
      <c r="B97" s="17" t="s">
        <v>2</v>
      </c>
      <c r="C97" s="86">
        <v>20</v>
      </c>
      <c r="D97" s="83">
        <f>IF(C96=2,SUM(E91:E95),IF(C96=1,(SUM(E91:E95))*D92/D91,0))</f>
        <v>1045</v>
      </c>
      <c r="E97" s="18">
        <f>C97*D97/100</f>
        <v>209</v>
      </c>
    </row>
    <row r="98" spans="1:7" s="11" customFormat="1">
      <c r="A98" s="103" t="s">
        <v>3</v>
      </c>
      <c r="B98" s="117"/>
      <c r="C98" s="117"/>
      <c r="D98" s="118"/>
      <c r="E98" s="105">
        <f>SUM(E91:E97)</f>
        <v>1800.27</v>
      </c>
      <c r="F98" s="44"/>
      <c r="G98" s="44"/>
    </row>
    <row r="99" spans="1:7">
      <c r="A99" s="16" t="s">
        <v>4</v>
      </c>
      <c r="B99" s="17" t="s">
        <v>2</v>
      </c>
      <c r="C99" s="141">
        <f>'5.Enc Sociais'!$C$38*100</f>
        <v>72.231660000000005</v>
      </c>
      <c r="D99" s="18">
        <f>E98</f>
        <v>1800.27</v>
      </c>
      <c r="E99" s="18">
        <f>D99*C99/100</f>
        <v>1300.364905482</v>
      </c>
    </row>
    <row r="100" spans="1:7" s="11" customFormat="1">
      <c r="A100" s="103" t="s">
        <v>257</v>
      </c>
      <c r="B100" s="268"/>
      <c r="C100" s="268"/>
      <c r="D100" s="269"/>
      <c r="E100" s="105">
        <f>E98+E99</f>
        <v>3100.6349054820002</v>
      </c>
      <c r="F100" s="44"/>
      <c r="G100" s="44"/>
    </row>
    <row r="101" spans="1:7" ht="13.8" thickBot="1">
      <c r="A101" s="16" t="s">
        <v>5</v>
      </c>
      <c r="B101" s="17" t="s">
        <v>6</v>
      </c>
      <c r="C101" s="86">
        <v>1</v>
      </c>
      <c r="D101" s="18">
        <f>E100</f>
        <v>3100.6349054820002</v>
      </c>
      <c r="E101" s="18">
        <f>C101*D101</f>
        <v>3100.6349054820002</v>
      </c>
    </row>
    <row r="102" spans="1:7" ht="13.8" thickBot="1">
      <c r="A102" s="7" t="s">
        <v>438</v>
      </c>
      <c r="D102" s="123" t="s">
        <v>197</v>
      </c>
      <c r="E102" s="327">
        <f>Horários!F64</f>
        <v>0.39772727272727271</v>
      </c>
      <c r="F102" s="124">
        <f>E101*E102</f>
        <v>1233.2070646803409</v>
      </c>
    </row>
    <row r="103" spans="1:7" ht="11.25" customHeight="1">
      <c r="A103" s="7" t="s">
        <v>445</v>
      </c>
    </row>
    <row r="104" spans="1:7" ht="11.25" customHeight="1">
      <c r="A104" s="7"/>
    </row>
    <row r="105" spans="1:7" ht="13.8" thickBot="1">
      <c r="A105" s="7" t="s">
        <v>403</v>
      </c>
    </row>
    <row r="106" spans="1:7" ht="13.8" thickBot="1">
      <c r="A106" s="60" t="s">
        <v>64</v>
      </c>
      <c r="B106" s="61" t="s">
        <v>65</v>
      </c>
      <c r="C106" s="61" t="s">
        <v>42</v>
      </c>
      <c r="D106" s="62" t="s">
        <v>237</v>
      </c>
      <c r="E106" s="62" t="s">
        <v>66</v>
      </c>
      <c r="F106" s="63" t="s">
        <v>67</v>
      </c>
    </row>
    <row r="107" spans="1:7">
      <c r="A107" s="308" t="s">
        <v>296</v>
      </c>
      <c r="B107" s="14" t="s">
        <v>8</v>
      </c>
      <c r="C107" s="14">
        <v>1</v>
      </c>
      <c r="D107" s="15">
        <v>1800</v>
      </c>
      <c r="E107" s="15">
        <f>C107*D107</f>
        <v>1800</v>
      </c>
    </row>
    <row r="108" spans="1:7" hidden="1">
      <c r="A108" s="308" t="s">
        <v>297</v>
      </c>
      <c r="B108" s="14" t="s">
        <v>8</v>
      </c>
      <c r="C108" s="14">
        <v>1</v>
      </c>
      <c r="D108" s="18">
        <f>D92</f>
        <v>1045</v>
      </c>
      <c r="E108" s="18"/>
    </row>
    <row r="109" spans="1:7" hidden="1">
      <c r="A109" s="16" t="s">
        <v>7</v>
      </c>
      <c r="B109" s="17" t="s">
        <v>100</v>
      </c>
      <c r="C109" s="88"/>
      <c r="D109" s="16"/>
      <c r="E109" s="16"/>
    </row>
    <row r="110" spans="1:7" hidden="1">
      <c r="A110" s="16"/>
      <c r="B110" s="17" t="s">
        <v>104</v>
      </c>
      <c r="C110" s="18">
        <f>C109*8/7</f>
        <v>0</v>
      </c>
      <c r="D110" s="18">
        <f>D107/220*0.2</f>
        <v>1.6363636363636365</v>
      </c>
      <c r="E110" s="18">
        <f>C109*D110</f>
        <v>0</v>
      </c>
    </row>
    <row r="111" spans="1:7" hidden="1">
      <c r="A111" s="16" t="s">
        <v>36</v>
      </c>
      <c r="B111" s="17" t="s">
        <v>0</v>
      </c>
      <c r="C111" s="88"/>
      <c r="D111" s="18">
        <f>D107/220*2</f>
        <v>16.363636363636363</v>
      </c>
      <c r="E111" s="18">
        <f>C111*D111</f>
        <v>0</v>
      </c>
      <c r="G111" s="10" t="s">
        <v>253</v>
      </c>
    </row>
    <row r="112" spans="1:7" hidden="1">
      <c r="A112" s="16" t="s">
        <v>101</v>
      </c>
      <c r="B112" s="17" t="s">
        <v>100</v>
      </c>
      <c r="C112" s="88"/>
      <c r="D112" s="18"/>
      <c r="E112" s="18"/>
      <c r="G112" s="10" t="s">
        <v>254</v>
      </c>
    </row>
    <row r="113" spans="1:7" hidden="1">
      <c r="A113" s="16"/>
      <c r="B113" s="17" t="s">
        <v>104</v>
      </c>
      <c r="C113" s="18">
        <f>C112*8/7</f>
        <v>0</v>
      </c>
      <c r="D113" s="18">
        <f>D107/220*2*1.2</f>
        <v>19.636363636363637</v>
      </c>
      <c r="E113" s="18">
        <f>C113*D113</f>
        <v>0</v>
      </c>
      <c r="G113" s="10" t="s">
        <v>254</v>
      </c>
    </row>
    <row r="114" spans="1:7" hidden="1">
      <c r="A114" s="16" t="s">
        <v>37</v>
      </c>
      <c r="B114" s="17" t="s">
        <v>0</v>
      </c>
      <c r="C114" s="88"/>
      <c r="D114" s="18">
        <f>D107/220*1.5</f>
        <v>12.272727272727273</v>
      </c>
      <c r="E114" s="18">
        <f>C114*D114</f>
        <v>0</v>
      </c>
      <c r="G114" s="10" t="s">
        <v>255</v>
      </c>
    </row>
    <row r="115" spans="1:7" hidden="1">
      <c r="A115" s="16" t="s">
        <v>221</v>
      </c>
      <c r="B115" s="17" t="s">
        <v>100</v>
      </c>
      <c r="C115" s="88"/>
      <c r="D115" s="18"/>
      <c r="E115" s="18"/>
      <c r="G115" s="10" t="s">
        <v>256</v>
      </c>
    </row>
    <row r="116" spans="1:7" hidden="1">
      <c r="A116" s="16"/>
      <c r="B116" s="17" t="s">
        <v>104</v>
      </c>
      <c r="C116" s="18">
        <f>C115*8/7</f>
        <v>0</v>
      </c>
      <c r="D116" s="18">
        <f>D107/220*1.5*1.2</f>
        <v>14.727272727272727</v>
      </c>
      <c r="E116" s="18">
        <f>C116*D116</f>
        <v>0</v>
      </c>
      <c r="G116" s="10" t="s">
        <v>256</v>
      </c>
    </row>
    <row r="117" spans="1:7" ht="13.2" hidden="1" customHeight="1">
      <c r="A117" s="16" t="s">
        <v>223</v>
      </c>
      <c r="B117" s="17" t="s">
        <v>35</v>
      </c>
      <c r="D117" s="18">
        <f>63/302*(SUM(E111:E116))</f>
        <v>0</v>
      </c>
      <c r="E117" s="18">
        <f>D117</f>
        <v>0</v>
      </c>
      <c r="G117" s="10" t="s">
        <v>222</v>
      </c>
    </row>
    <row r="118" spans="1:7" hidden="1">
      <c r="A118" s="16" t="s">
        <v>220</v>
      </c>
      <c r="B118" s="17"/>
      <c r="C118" s="90"/>
      <c r="D118" s="18"/>
      <c r="E118" s="18"/>
    </row>
    <row r="119" spans="1:7" hidden="1">
      <c r="A119" s="16" t="s">
        <v>1</v>
      </c>
      <c r="B119" s="17" t="s">
        <v>2</v>
      </c>
      <c r="C119" s="83">
        <f>+C97</f>
        <v>20</v>
      </c>
      <c r="D119" s="83">
        <f>IF(C118=2,SUM(E107:E117),IF(C118=1,SUM(E107:E117)*D108/D107,0))</f>
        <v>0</v>
      </c>
      <c r="E119" s="18">
        <f>C119*D119/100</f>
        <v>0</v>
      </c>
    </row>
    <row r="120" spans="1:7" s="11" customFormat="1">
      <c r="A120" s="116" t="s">
        <v>3</v>
      </c>
      <c r="B120" s="117"/>
      <c r="C120" s="117"/>
      <c r="D120" s="118"/>
      <c r="E120" s="119">
        <f>SUM(E107:E119)</f>
        <v>1800</v>
      </c>
      <c r="F120" s="44"/>
      <c r="G120" s="44"/>
    </row>
    <row r="121" spans="1:7">
      <c r="A121" s="16" t="s">
        <v>4</v>
      </c>
      <c r="B121" s="17" t="s">
        <v>2</v>
      </c>
      <c r="C121" s="141">
        <f>'5.Enc Sociais'!$C$38*100</f>
        <v>72.231660000000005</v>
      </c>
      <c r="D121" s="18">
        <f>E120</f>
        <v>1800</v>
      </c>
      <c r="E121" s="18">
        <f>D121*C121/100</f>
        <v>1300.1698800000001</v>
      </c>
    </row>
    <row r="122" spans="1:7" s="11" customFormat="1">
      <c r="A122" s="116" t="s">
        <v>257</v>
      </c>
      <c r="B122" s="117"/>
      <c r="C122" s="117"/>
      <c r="D122" s="118"/>
      <c r="E122" s="119">
        <f>E120+E121</f>
        <v>3100.1698800000004</v>
      </c>
      <c r="F122" s="44"/>
      <c r="G122" s="44"/>
    </row>
    <row r="123" spans="1:7" ht="13.8" thickBot="1">
      <c r="A123" s="16" t="s">
        <v>5</v>
      </c>
      <c r="B123" s="17" t="s">
        <v>6</v>
      </c>
      <c r="C123" s="86">
        <v>1</v>
      </c>
      <c r="D123" s="18">
        <f>E122</f>
        <v>3100.1698800000004</v>
      </c>
      <c r="E123" s="18">
        <f>C123*D123</f>
        <v>3100.1698800000004</v>
      </c>
    </row>
    <row r="124" spans="1:7" ht="13.8" thickBot="1">
      <c r="A124" s="11" t="s">
        <v>493</v>
      </c>
      <c r="D124" s="123" t="s">
        <v>197</v>
      </c>
      <c r="E124" s="327">
        <f>4/44</f>
        <v>9.0909090909090912E-2</v>
      </c>
      <c r="F124" s="124">
        <f>E123*E124</f>
        <v>281.83362545454548</v>
      </c>
    </row>
    <row r="125" spans="1:7" ht="11.25" customHeight="1">
      <c r="G125" s="9"/>
    </row>
    <row r="126" spans="1:7" ht="13.8" thickBot="1">
      <c r="A126" s="9" t="s">
        <v>105</v>
      </c>
      <c r="B126" s="93"/>
      <c r="D126" s="9"/>
      <c r="E126" s="348"/>
      <c r="G126" s="9"/>
    </row>
    <row r="127" spans="1:7" ht="13.8" thickBot="1">
      <c r="A127" s="60" t="s">
        <v>64</v>
      </c>
      <c r="B127" s="61" t="s">
        <v>65</v>
      </c>
      <c r="C127" s="61" t="s">
        <v>42</v>
      </c>
      <c r="D127" s="62" t="s">
        <v>237</v>
      </c>
      <c r="E127" s="62" t="s">
        <v>66</v>
      </c>
      <c r="F127" s="63" t="s">
        <v>67</v>
      </c>
      <c r="G127" s="9"/>
    </row>
    <row r="128" spans="1:7">
      <c r="A128" s="16" t="s">
        <v>93</v>
      </c>
      <c r="B128" s="17" t="s">
        <v>35</v>
      </c>
      <c r="C128" s="94">
        <v>1</v>
      </c>
      <c r="D128" s="92">
        <v>3</v>
      </c>
      <c r="E128" s="18"/>
      <c r="G128" s="9"/>
    </row>
    <row r="129" spans="1:7">
      <c r="A129" s="16" t="s">
        <v>94</v>
      </c>
      <c r="B129" s="17" t="s">
        <v>95</v>
      </c>
      <c r="C129" s="91">
        <v>8</v>
      </c>
      <c r="D129" s="18"/>
      <c r="E129" s="18"/>
      <c r="G129" s="9"/>
    </row>
    <row r="130" spans="1:7">
      <c r="A130" s="16" t="s">
        <v>75</v>
      </c>
      <c r="B130" s="17" t="s">
        <v>9</v>
      </c>
      <c r="C130" s="37">
        <f>$C$129*2*(C67+C86)</f>
        <v>32</v>
      </c>
      <c r="D130" s="15">
        <f>IFERROR((($C$129*2*$D$128)-(E59*0.06*C129/26))/($C$129*2),"-")</f>
        <v>1.4645423076923076</v>
      </c>
      <c r="E130" s="18">
        <f>IFERROR(C130*D130,"-")</f>
        <v>46.865353846153845</v>
      </c>
      <c r="G130" s="9"/>
    </row>
    <row r="131" spans="1:7" ht="13.8" thickBot="1">
      <c r="A131" s="13" t="s">
        <v>46</v>
      </c>
      <c r="B131" s="14" t="s">
        <v>9</v>
      </c>
      <c r="C131" s="37">
        <f>$C$129*2*(C101)</f>
        <v>16</v>
      </c>
      <c r="D131" s="15">
        <f>IFERROR((($C$129*2*$D$128)-(E91*0.06*C129/26))/($C$129*2),"-")</f>
        <v>1.163919230769231</v>
      </c>
      <c r="E131" s="15">
        <f>IFERROR(C131*D131,"-")</f>
        <v>18.622707692307696</v>
      </c>
      <c r="G131" s="9"/>
    </row>
    <row r="132" spans="1:7" ht="13.8" thickBot="1">
      <c r="F132" s="22">
        <f>SUM(E130:E131)</f>
        <v>65.488061538461537</v>
      </c>
      <c r="G132" s="9"/>
    </row>
    <row r="133" spans="1:7" ht="11.25" customHeight="1">
      <c r="G133" s="9"/>
    </row>
    <row r="134" spans="1:7" ht="13.8" thickBot="1">
      <c r="A134" s="91" t="s">
        <v>124</v>
      </c>
      <c r="F134" s="23"/>
      <c r="G134" s="9"/>
    </row>
    <row r="135" spans="1:7" ht="13.8" thickBot="1">
      <c r="A135" s="60" t="s">
        <v>64</v>
      </c>
      <c r="B135" s="61" t="s">
        <v>65</v>
      </c>
      <c r="C135" s="61" t="s">
        <v>42</v>
      </c>
      <c r="D135" s="62" t="s">
        <v>237</v>
      </c>
      <c r="E135" s="62" t="s">
        <v>66</v>
      </c>
      <c r="F135" s="63" t="s">
        <v>67</v>
      </c>
      <c r="G135" s="9"/>
    </row>
    <row r="136" spans="1:7">
      <c r="A136" s="16" t="str">
        <f>+A130</f>
        <v>Coletor</v>
      </c>
      <c r="B136" s="17" t="s">
        <v>10</v>
      </c>
      <c r="C136" s="102">
        <f>C129*(E43+E44)</f>
        <v>16</v>
      </c>
      <c r="D136" s="95">
        <f>17.41*0.81</f>
        <v>14.102100000000002</v>
      </c>
      <c r="E136" s="50">
        <f>C136*D136</f>
        <v>225.63360000000003</v>
      </c>
      <c r="F136" s="23"/>
      <c r="G136" s="9"/>
    </row>
    <row r="137" spans="1:7">
      <c r="A137" s="344" t="s">
        <v>46</v>
      </c>
      <c r="B137" s="17" t="s">
        <v>10</v>
      </c>
      <c r="C137" s="102">
        <f>C129*(E45)</f>
        <v>8</v>
      </c>
      <c r="D137" s="95">
        <f>11.7*0.8</f>
        <v>9.36</v>
      </c>
      <c r="E137" s="50">
        <f>C137*D137</f>
        <v>74.88</v>
      </c>
      <c r="F137" s="23"/>
      <c r="G137" s="9"/>
    </row>
    <row r="138" spans="1:7" ht="13.8" thickBot="1">
      <c r="A138" s="344" t="s">
        <v>404</v>
      </c>
      <c r="B138" s="17" t="s">
        <v>10</v>
      </c>
      <c r="C138" s="102">
        <v>4</v>
      </c>
      <c r="D138" s="95">
        <f>17.41*0.81</f>
        <v>14.102100000000002</v>
      </c>
      <c r="E138" s="50">
        <f>C138*D138</f>
        <v>56.408400000000007</v>
      </c>
      <c r="F138" s="23"/>
      <c r="G138" s="9"/>
    </row>
    <row r="139" spans="1:7" ht="13.8" thickBot="1">
      <c r="F139" s="22">
        <f>SUM(E136:E138)</f>
        <v>356.92200000000003</v>
      </c>
      <c r="G139" s="9"/>
    </row>
    <row r="140" spans="1:7">
      <c r="G140" s="9"/>
    </row>
    <row r="141" spans="1:7" ht="13.8" thickBot="1">
      <c r="A141" s="9" t="s">
        <v>125</v>
      </c>
      <c r="F141" s="23"/>
      <c r="G141" s="9"/>
    </row>
    <row r="142" spans="1:7" ht="13.8" thickBot="1">
      <c r="A142" s="60" t="s">
        <v>64</v>
      </c>
      <c r="B142" s="61" t="s">
        <v>65</v>
      </c>
      <c r="C142" s="61" t="s">
        <v>42</v>
      </c>
      <c r="D142" s="62" t="s">
        <v>237</v>
      </c>
      <c r="E142" s="62" t="s">
        <v>66</v>
      </c>
      <c r="F142" s="63" t="s">
        <v>67</v>
      </c>
      <c r="G142" s="9"/>
    </row>
    <row r="143" spans="1:7" hidden="1">
      <c r="A143" s="16" t="str">
        <f>+A136</f>
        <v>Coletor</v>
      </c>
      <c r="B143" s="17" t="s">
        <v>10</v>
      </c>
      <c r="C143" s="102">
        <f>E43+E44</f>
        <v>2</v>
      </c>
      <c r="D143" s="95"/>
      <c r="E143" s="50">
        <f>C143*D143</f>
        <v>0</v>
      </c>
      <c r="F143" s="23"/>
      <c r="G143" s="9"/>
    </row>
    <row r="144" spans="1:7" ht="13.8" thickBot="1">
      <c r="A144" s="16" t="str">
        <f>A137</f>
        <v>Motorista</v>
      </c>
      <c r="B144" s="17" t="s">
        <v>10</v>
      </c>
      <c r="C144" s="102">
        <f>E45</f>
        <v>1</v>
      </c>
      <c r="D144" s="95">
        <f>88.75*0.8</f>
        <v>71</v>
      </c>
      <c r="E144" s="50">
        <f>C144*D144</f>
        <v>71</v>
      </c>
      <c r="F144" s="23"/>
      <c r="G144" s="9"/>
    </row>
    <row r="145" spans="1:7" ht="13.8" thickBot="1">
      <c r="D145" s="123" t="s">
        <v>197</v>
      </c>
      <c r="E145" s="327">
        <f>E102</f>
        <v>0.39772727272727271</v>
      </c>
      <c r="F145" s="22">
        <f>SUM(E143:E144)*E145</f>
        <v>28.238636363636363</v>
      </c>
      <c r="G145" s="9"/>
    </row>
    <row r="146" spans="1:7">
      <c r="D146" s="123"/>
      <c r="E146" s="516"/>
      <c r="G146" s="9"/>
    </row>
    <row r="147" spans="1:7" ht="13.8" thickBot="1">
      <c r="A147" s="7" t="s">
        <v>451</v>
      </c>
      <c r="B147" s="7"/>
      <c r="C147" s="7"/>
      <c r="D147" s="361"/>
      <c r="E147" s="361"/>
      <c r="F147" s="23"/>
      <c r="G147" s="9"/>
    </row>
    <row r="148" spans="1:7" ht="13.8" thickBot="1">
      <c r="A148" s="60" t="s">
        <v>64</v>
      </c>
      <c r="B148" s="61" t="s">
        <v>65</v>
      </c>
      <c r="C148" s="61" t="s">
        <v>42</v>
      </c>
      <c r="D148" s="62" t="s">
        <v>237</v>
      </c>
      <c r="E148" s="62" t="s">
        <v>66</v>
      </c>
      <c r="F148" s="63" t="s">
        <v>67</v>
      </c>
      <c r="G148" s="9"/>
    </row>
    <row r="149" spans="1:7" ht="13.8" thickBot="1">
      <c r="A149" s="344" t="s">
        <v>450</v>
      </c>
      <c r="B149" s="513" t="s">
        <v>10</v>
      </c>
      <c r="C149" s="517">
        <v>2</v>
      </c>
      <c r="D149" s="518">
        <v>15.62</v>
      </c>
      <c r="E149" s="519">
        <f>C149*D149</f>
        <v>31.24</v>
      </c>
      <c r="F149" s="23"/>
      <c r="G149" s="9"/>
    </row>
    <row r="150" spans="1:7" ht="13.8" hidden="1" thickBot="1">
      <c r="A150" s="344"/>
      <c r="B150" s="513" t="s">
        <v>10</v>
      </c>
      <c r="C150" s="517">
        <v>0</v>
      </c>
      <c r="D150" s="518">
        <v>0</v>
      </c>
      <c r="E150" s="519"/>
      <c r="F150" s="23"/>
      <c r="G150" s="9"/>
    </row>
    <row r="151" spans="1:7" ht="13.8" thickBot="1">
      <c r="A151" s="520"/>
      <c r="B151" s="520"/>
      <c r="C151" s="7"/>
      <c r="D151" s="413" t="s">
        <v>449</v>
      </c>
      <c r="E151" s="414">
        <f>E68</f>
        <v>0.34090909090909088</v>
      </c>
      <c r="F151" s="521">
        <f>SUM(E149:E150)*E151</f>
        <v>10.649999999999999</v>
      </c>
      <c r="G151" s="9"/>
    </row>
    <row r="152" spans="1:7" ht="13.8" thickBot="1">
      <c r="D152" s="123"/>
      <c r="E152" s="516"/>
      <c r="G152" s="9"/>
    </row>
    <row r="153" spans="1:7" ht="13.8" thickBot="1">
      <c r="A153" s="24" t="s">
        <v>96</v>
      </c>
      <c r="B153" s="25"/>
      <c r="C153" s="25"/>
      <c r="D153" s="26"/>
      <c r="E153" s="27"/>
      <c r="F153" s="22">
        <f>F145+F139+F132+F124+F102+F87+F68+F151</f>
        <v>4164.0987403768922</v>
      </c>
      <c r="G153" s="9"/>
    </row>
    <row r="155" spans="1:7">
      <c r="A155" s="11" t="s">
        <v>47</v>
      </c>
      <c r="G155" s="9"/>
    </row>
    <row r="156" spans="1:7" ht="11.25" customHeight="1">
      <c r="G156" s="9"/>
    </row>
    <row r="157" spans="1:7" ht="13.95" customHeight="1">
      <c r="A157" s="9" t="s">
        <v>199</v>
      </c>
      <c r="G157" s="9"/>
    </row>
    <row r="158" spans="1:7" ht="11.25" customHeight="1" thickBot="1">
      <c r="G158" s="9"/>
    </row>
    <row r="159" spans="1:7" ht="27.75" customHeight="1" thickBot="1">
      <c r="A159" s="60" t="s">
        <v>64</v>
      </c>
      <c r="B159" s="61" t="s">
        <v>65</v>
      </c>
      <c r="C159" s="270" t="s">
        <v>259</v>
      </c>
      <c r="D159" s="62" t="s">
        <v>237</v>
      </c>
      <c r="E159" s="62" t="s">
        <v>66</v>
      </c>
      <c r="F159" s="63" t="s">
        <v>67</v>
      </c>
      <c r="G159" s="9"/>
    </row>
    <row r="160" spans="1:7">
      <c r="A160" s="13" t="s">
        <v>68</v>
      </c>
      <c r="B160" s="14" t="s">
        <v>10</v>
      </c>
      <c r="C160" s="342">
        <v>12</v>
      </c>
      <c r="D160" s="325">
        <v>110</v>
      </c>
      <c r="E160" s="15">
        <f>IFERROR(D160/C160,0)</f>
        <v>9.1666666666666661</v>
      </c>
      <c r="G160" s="9"/>
    </row>
    <row r="161" spans="1:7" ht="13.2" customHeight="1">
      <c r="A161" s="16" t="s">
        <v>30</v>
      </c>
      <c r="B161" s="17" t="s">
        <v>10</v>
      </c>
      <c r="C161" s="342">
        <v>4</v>
      </c>
      <c r="D161" s="341">
        <v>35</v>
      </c>
      <c r="E161" s="15">
        <f t="shared" ref="E161:E169" si="1">IFERROR(D161/C161,0)</f>
        <v>8.75</v>
      </c>
      <c r="G161" s="9"/>
    </row>
    <row r="162" spans="1:7">
      <c r="A162" s="16" t="s">
        <v>31</v>
      </c>
      <c r="B162" s="17" t="s">
        <v>10</v>
      </c>
      <c r="C162" s="342">
        <v>2</v>
      </c>
      <c r="D162" s="341">
        <v>28</v>
      </c>
      <c r="E162" s="15">
        <f t="shared" si="1"/>
        <v>14</v>
      </c>
      <c r="G162" s="9"/>
    </row>
    <row r="163" spans="1:7" ht="13.2" customHeight="1">
      <c r="A163" s="16" t="s">
        <v>32</v>
      </c>
      <c r="B163" s="17" t="s">
        <v>10</v>
      </c>
      <c r="C163" s="342">
        <v>4</v>
      </c>
      <c r="D163" s="341">
        <v>18</v>
      </c>
      <c r="E163" s="15">
        <f t="shared" si="1"/>
        <v>4.5</v>
      </c>
      <c r="G163" s="9"/>
    </row>
    <row r="164" spans="1:7" ht="13.95" customHeight="1">
      <c r="A164" s="16" t="s">
        <v>70</v>
      </c>
      <c r="B164" s="17" t="s">
        <v>50</v>
      </c>
      <c r="C164" s="342">
        <v>4</v>
      </c>
      <c r="D164" s="341">
        <v>60</v>
      </c>
      <c r="E164" s="15">
        <f t="shared" si="1"/>
        <v>15</v>
      </c>
      <c r="G164" s="9"/>
    </row>
    <row r="165" spans="1:7" ht="13.2" customHeight="1">
      <c r="A165" s="16" t="s">
        <v>97</v>
      </c>
      <c r="B165" s="17" t="s">
        <v>50</v>
      </c>
      <c r="C165" s="342">
        <v>2</v>
      </c>
      <c r="D165" s="341">
        <v>10</v>
      </c>
      <c r="E165" s="15">
        <f t="shared" si="1"/>
        <v>5</v>
      </c>
    </row>
    <row r="166" spans="1:7">
      <c r="A166" s="16" t="s">
        <v>69</v>
      </c>
      <c r="B166" s="17" t="s">
        <v>10</v>
      </c>
      <c r="C166" s="342">
        <v>6</v>
      </c>
      <c r="D166" s="341">
        <v>67</v>
      </c>
      <c r="E166" s="15">
        <f t="shared" si="1"/>
        <v>11.166666666666666</v>
      </c>
    </row>
    <row r="167" spans="1:7" s="1" customFormat="1">
      <c r="A167" s="2" t="s">
        <v>11</v>
      </c>
      <c r="B167" s="3" t="s">
        <v>10</v>
      </c>
      <c r="C167" s="342">
        <v>4</v>
      </c>
      <c r="D167" s="341">
        <v>20</v>
      </c>
      <c r="E167" s="15">
        <f t="shared" si="1"/>
        <v>5</v>
      </c>
      <c r="F167" s="38"/>
      <c r="G167" s="38"/>
    </row>
    <row r="168" spans="1:7">
      <c r="A168" s="16" t="s">
        <v>33</v>
      </c>
      <c r="B168" s="17" t="s">
        <v>50</v>
      </c>
      <c r="C168" s="342">
        <v>1</v>
      </c>
      <c r="D168" s="341">
        <v>19</v>
      </c>
      <c r="E168" s="15">
        <f t="shared" si="1"/>
        <v>19</v>
      </c>
    </row>
    <row r="169" spans="1:7" ht="13.2" customHeight="1">
      <c r="A169" s="16" t="s">
        <v>63</v>
      </c>
      <c r="B169" s="17" t="s">
        <v>51</v>
      </c>
      <c r="C169" s="342">
        <v>2</v>
      </c>
      <c r="D169" s="341">
        <v>20</v>
      </c>
      <c r="E169" s="15">
        <f t="shared" si="1"/>
        <v>10</v>
      </c>
    </row>
    <row r="170" spans="1:7">
      <c r="A170" s="16" t="s">
        <v>200</v>
      </c>
      <c r="B170" s="17" t="s">
        <v>126</v>
      </c>
      <c r="C170" s="343">
        <v>1</v>
      </c>
      <c r="D170" s="341">
        <v>50</v>
      </c>
      <c r="E170" s="18">
        <f t="shared" ref="E170:E171" si="2">C170*D170</f>
        <v>50</v>
      </c>
    </row>
    <row r="171" spans="1:7" ht="13.8" thickBot="1">
      <c r="A171" s="16" t="s">
        <v>5</v>
      </c>
      <c r="B171" s="17" t="s">
        <v>6</v>
      </c>
      <c r="C171" s="69">
        <f>E43+E44</f>
        <v>2</v>
      </c>
      <c r="D171" s="18">
        <f>+SUM(E160:E170)</f>
        <v>151.58333333333331</v>
      </c>
      <c r="E171" s="18">
        <f t="shared" si="2"/>
        <v>303.16666666666663</v>
      </c>
    </row>
    <row r="172" spans="1:7" ht="13.8" thickBot="1">
      <c r="D172" s="123" t="s">
        <v>197</v>
      </c>
      <c r="E172" s="327">
        <f>$B$53</f>
        <v>0.34090909090909088</v>
      </c>
      <c r="F172" s="124">
        <f>E171*E172</f>
        <v>103.35227272727271</v>
      </c>
    </row>
    <row r="173" spans="1:7" ht="11.25" customHeight="1"/>
    <row r="174" spans="1:7" ht="13.95" customHeight="1">
      <c r="A174" s="9" t="s">
        <v>201</v>
      </c>
    </row>
    <row r="175" spans="1:7" ht="11.25" customHeight="1" thickBot="1"/>
    <row r="176" spans="1:7" ht="24.6" thickBot="1">
      <c r="A176" s="60" t="s">
        <v>64</v>
      </c>
      <c r="B176" s="61" t="s">
        <v>65</v>
      </c>
      <c r="C176" s="270" t="s">
        <v>259</v>
      </c>
      <c r="D176" s="62" t="s">
        <v>237</v>
      </c>
      <c r="E176" s="62" t="s">
        <v>66</v>
      </c>
      <c r="F176" s="63" t="s">
        <v>67</v>
      </c>
    </row>
    <row r="177" spans="1:7">
      <c r="A177" s="13" t="s">
        <v>68</v>
      </c>
      <c r="B177" s="14" t="s">
        <v>10</v>
      </c>
      <c r="C177" s="346">
        <f>C160</f>
        <v>12</v>
      </c>
      <c r="D177" s="15">
        <f>+D160</f>
        <v>110</v>
      </c>
      <c r="E177" s="15">
        <f>IFERROR(D177/C177,0)</f>
        <v>9.1666666666666661</v>
      </c>
    </row>
    <row r="178" spans="1:7">
      <c r="A178" s="16" t="s">
        <v>30</v>
      </c>
      <c r="B178" s="17" t="s">
        <v>10</v>
      </c>
      <c r="C178" s="346">
        <f>C161</f>
        <v>4</v>
      </c>
      <c r="D178" s="18">
        <f>+D161</f>
        <v>35</v>
      </c>
      <c r="E178" s="15">
        <f t="shared" ref="E178:E182" si="3">IFERROR(D178/C178,0)</f>
        <v>8.75</v>
      </c>
    </row>
    <row r="179" spans="1:7">
      <c r="A179" s="16" t="s">
        <v>31</v>
      </c>
      <c r="B179" s="17" t="s">
        <v>10</v>
      </c>
      <c r="C179" s="346">
        <f>C162</f>
        <v>2</v>
      </c>
      <c r="D179" s="18">
        <f>+D162</f>
        <v>28</v>
      </c>
      <c r="E179" s="15">
        <f t="shared" si="3"/>
        <v>14</v>
      </c>
    </row>
    <row r="180" spans="1:7">
      <c r="A180" s="16" t="s">
        <v>70</v>
      </c>
      <c r="B180" s="17" t="s">
        <v>50</v>
      </c>
      <c r="C180" s="346">
        <f>C164</f>
        <v>4</v>
      </c>
      <c r="D180" s="18">
        <f>+D164</f>
        <v>60</v>
      </c>
      <c r="E180" s="15">
        <f t="shared" si="3"/>
        <v>15</v>
      </c>
    </row>
    <row r="181" spans="1:7">
      <c r="A181" s="16" t="s">
        <v>69</v>
      </c>
      <c r="B181" s="17" t="s">
        <v>10</v>
      </c>
      <c r="C181" s="346">
        <f>C166</f>
        <v>6</v>
      </c>
      <c r="D181" s="18">
        <f>+D166</f>
        <v>67</v>
      </c>
      <c r="E181" s="15">
        <f t="shared" si="3"/>
        <v>11.166666666666666</v>
      </c>
      <c r="G181" s="9"/>
    </row>
    <row r="182" spans="1:7">
      <c r="A182" s="16" t="s">
        <v>63</v>
      </c>
      <c r="B182" s="17" t="s">
        <v>51</v>
      </c>
      <c r="C182" s="346">
        <f>C169</f>
        <v>2</v>
      </c>
      <c r="D182" s="18">
        <f>+D169</f>
        <v>20</v>
      </c>
      <c r="E182" s="15">
        <f t="shared" si="3"/>
        <v>10</v>
      </c>
      <c r="G182" s="9"/>
    </row>
    <row r="183" spans="1:7">
      <c r="A183" s="16" t="s">
        <v>200</v>
      </c>
      <c r="B183" s="17" t="s">
        <v>126</v>
      </c>
      <c r="C183" s="121">
        <v>1</v>
      </c>
      <c r="D183" s="87">
        <f>D170</f>
        <v>50</v>
      </c>
      <c r="E183" s="18">
        <f t="shared" ref="E183:E184" si="4">C183*D183</f>
        <v>50</v>
      </c>
      <c r="G183" s="9"/>
    </row>
    <row r="184" spans="1:7" ht="13.8" thickBot="1">
      <c r="A184" s="16" t="s">
        <v>5</v>
      </c>
      <c r="B184" s="17" t="s">
        <v>6</v>
      </c>
      <c r="C184" s="69">
        <f>E45+E46</f>
        <v>2</v>
      </c>
      <c r="D184" s="18">
        <f>+SUM(E177:E183)</f>
        <v>118.08333333333333</v>
      </c>
      <c r="E184" s="18">
        <f t="shared" si="4"/>
        <v>236.16666666666666</v>
      </c>
      <c r="G184" s="9"/>
    </row>
    <row r="185" spans="1:7" ht="13.8" thickBot="1">
      <c r="D185" s="123" t="s">
        <v>197</v>
      </c>
      <c r="E185" s="327">
        <f>E102</f>
        <v>0.39772727272727271</v>
      </c>
      <c r="F185" s="124">
        <f>E184*E185</f>
        <v>93.929924242424235</v>
      </c>
      <c r="G185" s="9"/>
    </row>
    <row r="186" spans="1:7" ht="11.25" customHeight="1" thickBot="1">
      <c r="G186" s="9"/>
    </row>
    <row r="187" spans="1:7" ht="13.8" thickBot="1">
      <c r="A187" s="24" t="s">
        <v>202</v>
      </c>
      <c r="B187" s="28"/>
      <c r="C187" s="28"/>
      <c r="D187" s="29"/>
      <c r="E187" s="30"/>
      <c r="F187" s="21">
        <f>+F172+F185</f>
        <v>197.28219696969694</v>
      </c>
      <c r="G187" s="9"/>
    </row>
    <row r="188" spans="1:7" ht="11.25" customHeight="1">
      <c r="G188" s="9"/>
    </row>
    <row r="189" spans="1:7">
      <c r="A189" s="11" t="s">
        <v>56</v>
      </c>
      <c r="G189" s="9"/>
    </row>
    <row r="190" spans="1:7" ht="11.25" customHeight="1">
      <c r="B190" s="107"/>
      <c r="G190" s="9"/>
    </row>
    <row r="191" spans="1:7">
      <c r="A191" s="7" t="s">
        <v>399</v>
      </c>
      <c r="G191" s="9"/>
    </row>
    <row r="192" spans="1:7" ht="11.25" customHeight="1">
      <c r="G192" s="9"/>
    </row>
    <row r="193" spans="1:10" ht="13.8" thickBot="1">
      <c r="A193" s="107" t="s">
        <v>48</v>
      </c>
      <c r="G193" s="9"/>
    </row>
    <row r="194" spans="1:10" ht="13.8" thickBot="1">
      <c r="A194" s="60" t="s">
        <v>64</v>
      </c>
      <c r="B194" s="61" t="s">
        <v>65</v>
      </c>
      <c r="C194" s="61" t="s">
        <v>42</v>
      </c>
      <c r="D194" s="62" t="s">
        <v>237</v>
      </c>
      <c r="E194" s="62" t="s">
        <v>66</v>
      </c>
      <c r="F194" s="63" t="s">
        <v>67</v>
      </c>
      <c r="G194" s="9"/>
    </row>
    <row r="195" spans="1:10">
      <c r="A195" s="13" t="s">
        <v>109</v>
      </c>
      <c r="B195" s="14" t="s">
        <v>10</v>
      </c>
      <c r="C195" s="276">
        <v>1</v>
      </c>
      <c r="D195" s="87">
        <v>202401</v>
      </c>
      <c r="E195" s="15">
        <f>C195*D195</f>
        <v>202401</v>
      </c>
      <c r="G195" s="9"/>
    </row>
    <row r="196" spans="1:10">
      <c r="A196" s="16" t="s">
        <v>106</v>
      </c>
      <c r="B196" s="17" t="s">
        <v>107</v>
      </c>
      <c r="C196" s="86">
        <v>10</v>
      </c>
      <c r="D196" s="83"/>
      <c r="E196" s="18"/>
      <c r="G196" s="9"/>
    </row>
    <row r="197" spans="1:10">
      <c r="A197" s="16" t="s">
        <v>215</v>
      </c>
      <c r="B197" s="17" t="s">
        <v>107</v>
      </c>
      <c r="C197" s="86">
        <v>5</v>
      </c>
      <c r="D197" s="18"/>
      <c r="E197" s="18"/>
      <c r="F197" s="20"/>
      <c r="I197" s="85"/>
      <c r="J197" s="85"/>
    </row>
    <row r="198" spans="1:10">
      <c r="A198" s="16" t="s">
        <v>108</v>
      </c>
      <c r="B198" s="17" t="s">
        <v>2</v>
      </c>
      <c r="C198" s="141">
        <f>IFERROR(VLOOKUP(C196,'8. Depr'!A3:B17,2,FALSE),0)</f>
        <v>65.180000000000007</v>
      </c>
      <c r="D198" s="18">
        <f>E195</f>
        <v>202401</v>
      </c>
      <c r="E198" s="18">
        <f>C198*D198/100</f>
        <v>131924.97180000003</v>
      </c>
    </row>
    <row r="199" spans="1:10" ht="13.8" thickBot="1">
      <c r="A199" s="279" t="s">
        <v>52</v>
      </c>
      <c r="B199" s="280" t="s">
        <v>8</v>
      </c>
      <c r="C199" s="280">
        <f>C196*12</f>
        <v>120</v>
      </c>
      <c r="D199" s="281">
        <f>IF(C197&lt;=C196,E198,0)</f>
        <v>131924.97180000003</v>
      </c>
      <c r="E199" s="281">
        <f>IFERROR(D199/C199,0)</f>
        <v>1099.3747650000003</v>
      </c>
    </row>
    <row r="200" spans="1:10" ht="13.8" thickTop="1">
      <c r="A200" s="308" t="s">
        <v>400</v>
      </c>
      <c r="B200" s="14" t="s">
        <v>10</v>
      </c>
      <c r="C200" s="14">
        <f>C195</f>
        <v>1</v>
      </c>
      <c r="D200" s="87">
        <v>80000</v>
      </c>
      <c r="E200" s="15">
        <f>C200*D200</f>
        <v>80000</v>
      </c>
      <c r="G200" s="9"/>
    </row>
    <row r="201" spans="1:10">
      <c r="A201" s="344" t="s">
        <v>106</v>
      </c>
      <c r="B201" s="17" t="s">
        <v>107</v>
      </c>
      <c r="C201" s="86">
        <v>10</v>
      </c>
      <c r="D201" s="18"/>
      <c r="E201" s="18"/>
    </row>
    <row r="202" spans="1:10">
      <c r="A202" s="344" t="s">
        <v>401</v>
      </c>
      <c r="B202" s="17" t="s">
        <v>107</v>
      </c>
      <c r="C202" s="86">
        <v>5</v>
      </c>
      <c r="D202" s="18"/>
      <c r="E202" s="18"/>
      <c r="F202" s="20"/>
      <c r="I202" s="85"/>
      <c r="J202" s="85"/>
    </row>
    <row r="203" spans="1:10">
      <c r="A203" s="344" t="s">
        <v>108</v>
      </c>
      <c r="B203" s="17" t="s">
        <v>2</v>
      </c>
      <c r="C203" s="142">
        <f>IFERROR(VLOOKUP(C201,'8. Depr'!A3:B17,2,FALSE),0)</f>
        <v>65.180000000000007</v>
      </c>
      <c r="D203" s="18">
        <f>E200</f>
        <v>80000</v>
      </c>
      <c r="E203" s="18">
        <f>C203*D203/100</f>
        <v>52144.000000000007</v>
      </c>
    </row>
    <row r="204" spans="1:10">
      <c r="A204" s="103" t="s">
        <v>402</v>
      </c>
      <c r="B204" s="104" t="s">
        <v>8</v>
      </c>
      <c r="C204" s="104">
        <f>C201*12</f>
        <v>120</v>
      </c>
      <c r="D204" s="105">
        <f>IF(C202&lt;=C201,E203,0)</f>
        <v>52144.000000000007</v>
      </c>
      <c r="E204" s="105">
        <f>IFERROR(D204/C204,0)</f>
        <v>434.53333333333342</v>
      </c>
    </row>
    <row r="205" spans="1:10">
      <c r="A205" s="116" t="s">
        <v>262</v>
      </c>
      <c r="B205" s="117"/>
      <c r="C205" s="117"/>
      <c r="D205" s="118"/>
      <c r="E205" s="119">
        <f>E199+E204</f>
        <v>1533.9080983333338</v>
      </c>
    </row>
    <row r="206" spans="1:10" ht="13.8" thickBot="1">
      <c r="A206" s="103" t="s">
        <v>263</v>
      </c>
      <c r="B206" s="104" t="s">
        <v>10</v>
      </c>
      <c r="C206" s="86">
        <v>1.1000000000000001</v>
      </c>
      <c r="D206" s="105">
        <f>E205</f>
        <v>1533.9080983333338</v>
      </c>
      <c r="E206" s="119">
        <f>C206*D206</f>
        <v>1687.2989081666674</v>
      </c>
    </row>
    <row r="207" spans="1:10" ht="13.8" thickBot="1">
      <c r="A207" s="275"/>
      <c r="B207" s="275"/>
      <c r="C207" s="275"/>
      <c r="D207" s="123" t="s">
        <v>197</v>
      </c>
      <c r="E207" s="327">
        <f>E102</f>
        <v>0.39772727272727271</v>
      </c>
      <c r="F207" s="21">
        <f>E206*E207</f>
        <v>671.08479302083356</v>
      </c>
    </row>
    <row r="208" spans="1:10" ht="11.25" customHeight="1"/>
    <row r="209" spans="1:10" ht="13.8" thickBot="1">
      <c r="A209" s="107" t="s">
        <v>114</v>
      </c>
    </row>
    <row r="210" spans="1:10" ht="13.8" thickBot="1">
      <c r="A210" s="109" t="s">
        <v>64</v>
      </c>
      <c r="B210" s="110" t="s">
        <v>65</v>
      </c>
      <c r="C210" s="110" t="s">
        <v>42</v>
      </c>
      <c r="D210" s="62" t="s">
        <v>237</v>
      </c>
      <c r="E210" s="111" t="s">
        <v>66</v>
      </c>
      <c r="F210" s="63" t="s">
        <v>67</v>
      </c>
      <c r="I210" s="85"/>
      <c r="J210" s="85"/>
    </row>
    <row r="211" spans="1:10">
      <c r="A211" s="16" t="s">
        <v>112</v>
      </c>
      <c r="B211" s="17" t="s">
        <v>10</v>
      </c>
      <c r="C211" s="276">
        <v>1</v>
      </c>
      <c r="D211" s="18">
        <f>D195</f>
        <v>202401</v>
      </c>
      <c r="E211" s="18">
        <f>C211*D211</f>
        <v>202401</v>
      </c>
      <c r="F211" s="20"/>
      <c r="I211" s="85"/>
      <c r="J211" s="85"/>
    </row>
    <row r="212" spans="1:10">
      <c r="A212" s="16" t="s">
        <v>218</v>
      </c>
      <c r="B212" s="17" t="s">
        <v>2</v>
      </c>
      <c r="C212" s="86">
        <v>2</v>
      </c>
      <c r="D212" s="18"/>
      <c r="E212" s="18"/>
      <c r="F212" s="20"/>
      <c r="I212" s="85"/>
      <c r="J212" s="85"/>
    </row>
    <row r="213" spans="1:10">
      <c r="A213" s="16" t="s">
        <v>216</v>
      </c>
      <c r="B213" s="17" t="s">
        <v>35</v>
      </c>
      <c r="C213" s="149">
        <f>IFERROR(IF(C197&lt;=C196,E195-(C198/(100*C196)*C197)*E195,E195-E198),0)</f>
        <v>136438.5141</v>
      </c>
      <c r="D213" s="18"/>
      <c r="E213" s="18"/>
      <c r="F213" s="20"/>
      <c r="I213" s="85"/>
      <c r="J213" s="85"/>
    </row>
    <row r="214" spans="1:10">
      <c r="A214" s="16" t="s">
        <v>117</v>
      </c>
      <c r="B214" s="17" t="s">
        <v>35</v>
      </c>
      <c r="C214" s="83">
        <f>IFERROR(IF(C197&gt;=C196,C213,((((C213)-(E195-E198))*(((C196-C197)+1)/(2*(C196-C197))))+(E195-E198))),0)</f>
        <v>110053.51973999999</v>
      </c>
      <c r="D214" s="18"/>
      <c r="E214" s="18"/>
      <c r="F214" s="20"/>
      <c r="I214" s="85"/>
      <c r="J214" s="85"/>
    </row>
    <row r="215" spans="1:10" ht="13.8" thickBot="1">
      <c r="A215" s="279" t="s">
        <v>118</v>
      </c>
      <c r="B215" s="280" t="s">
        <v>35</v>
      </c>
      <c r="C215" s="280"/>
      <c r="D215" s="282">
        <f>C212*C214/12/100</f>
        <v>183.42253289999996</v>
      </c>
      <c r="E215" s="281">
        <f>D215</f>
        <v>183.42253289999996</v>
      </c>
      <c r="F215" s="20"/>
      <c r="I215" s="85"/>
      <c r="J215" s="85"/>
    </row>
    <row r="216" spans="1:10" ht="13.8" thickTop="1">
      <c r="A216" s="308" t="s">
        <v>112</v>
      </c>
      <c r="B216" s="14" t="s">
        <v>10</v>
      </c>
      <c r="C216" s="14">
        <f>C200</f>
        <v>1</v>
      </c>
      <c r="D216" s="15">
        <f>D200</f>
        <v>80000</v>
      </c>
      <c r="E216" s="15">
        <f>C216*D216</f>
        <v>80000</v>
      </c>
      <c r="F216" s="20"/>
      <c r="I216" s="85"/>
      <c r="J216" s="85"/>
    </row>
    <row r="217" spans="1:10">
      <c r="A217" s="344" t="s">
        <v>218</v>
      </c>
      <c r="B217" s="17" t="s">
        <v>2</v>
      </c>
      <c r="C217" s="277">
        <f>C212</f>
        <v>2</v>
      </c>
      <c r="D217" s="18"/>
      <c r="E217" s="18"/>
      <c r="F217" s="20"/>
      <c r="I217" s="85"/>
      <c r="J217" s="85"/>
    </row>
    <row r="218" spans="1:10">
      <c r="A218" s="16" t="s">
        <v>217</v>
      </c>
      <c r="B218" s="17" t="s">
        <v>35</v>
      </c>
      <c r="C218" s="149">
        <f>IFERROR(IF(C202&lt;=C201,E200-(C203/(100*C201)*C202)*E200,E200-E203),0)</f>
        <v>53928</v>
      </c>
      <c r="D218" s="18"/>
      <c r="E218" s="18"/>
      <c r="F218" s="20"/>
      <c r="I218" s="85"/>
      <c r="J218" s="85"/>
    </row>
    <row r="219" spans="1:10">
      <c r="A219" s="344" t="s">
        <v>522</v>
      </c>
      <c r="B219" s="17" t="s">
        <v>35</v>
      </c>
      <c r="C219" s="83">
        <f>IFERROR(IF(C202&gt;=C201,C218,((((C218)-(E200-E203))*(((C201-C202)+1)/(2*(C201-C202))))+(E200-E203))),0)</f>
        <v>43499.199999999997</v>
      </c>
      <c r="D219" s="18"/>
      <c r="E219" s="18"/>
      <c r="F219" s="20"/>
      <c r="I219" s="85"/>
      <c r="J219" s="85"/>
    </row>
    <row r="220" spans="1:10">
      <c r="A220" s="103" t="s">
        <v>523</v>
      </c>
      <c r="B220" s="104" t="s">
        <v>35</v>
      </c>
      <c r="C220" s="104"/>
      <c r="D220" s="113">
        <f>C217*C219/12/100</f>
        <v>72.498666666666665</v>
      </c>
      <c r="E220" s="105">
        <f>D220</f>
        <v>72.498666666666665</v>
      </c>
      <c r="F220" s="20"/>
      <c r="I220" s="85"/>
      <c r="J220" s="85"/>
    </row>
    <row r="221" spans="1:10">
      <c r="A221" s="116" t="s">
        <v>262</v>
      </c>
      <c r="B221" s="117"/>
      <c r="C221" s="117"/>
      <c r="D221" s="118"/>
      <c r="E221" s="119">
        <f>E215+E220</f>
        <v>255.92119956666664</v>
      </c>
      <c r="F221" s="20"/>
      <c r="G221" s="512"/>
      <c r="I221" s="85"/>
      <c r="J221" s="85"/>
    </row>
    <row r="222" spans="1:10" ht="13.8" thickBot="1">
      <c r="A222" s="103" t="s">
        <v>263</v>
      </c>
      <c r="B222" s="104" t="s">
        <v>10</v>
      </c>
      <c r="C222" s="277">
        <f>C206</f>
        <v>1.1000000000000001</v>
      </c>
      <c r="D222" s="105">
        <f>E221</f>
        <v>255.92119956666664</v>
      </c>
      <c r="E222" s="119">
        <f>C222*D222</f>
        <v>281.51331952333334</v>
      </c>
      <c r="F222" s="20"/>
      <c r="I222" s="85"/>
      <c r="J222" s="85"/>
    </row>
    <row r="223" spans="1:10" ht="13.8" thickBot="1">
      <c r="C223" s="19"/>
      <c r="D223" s="123" t="s">
        <v>197</v>
      </c>
      <c r="E223" s="327">
        <f>E207</f>
        <v>0.39772727272727271</v>
      </c>
      <c r="F223" s="21">
        <f>E222*E223</f>
        <v>111.96552481041667</v>
      </c>
      <c r="I223" s="85"/>
      <c r="J223" s="85"/>
    </row>
    <row r="224" spans="1:10" ht="11.25" customHeight="1">
      <c r="I224" s="85"/>
      <c r="J224" s="85"/>
    </row>
    <row r="225" spans="1:10" ht="13.8" thickBot="1">
      <c r="A225" s="9" t="s">
        <v>53</v>
      </c>
      <c r="I225" s="85"/>
      <c r="J225" s="85"/>
    </row>
    <row r="226" spans="1:10" ht="13.8" thickBot="1">
      <c r="A226" s="60" t="s">
        <v>64</v>
      </c>
      <c r="B226" s="61" t="s">
        <v>65</v>
      </c>
      <c r="C226" s="61" t="s">
        <v>42</v>
      </c>
      <c r="D226" s="62" t="s">
        <v>237</v>
      </c>
      <c r="E226" s="62" t="s">
        <v>66</v>
      </c>
      <c r="F226" s="63" t="s">
        <v>67</v>
      </c>
      <c r="I226" s="85"/>
      <c r="J226" s="85"/>
    </row>
    <row r="227" spans="1:10">
      <c r="A227" s="13" t="s">
        <v>12</v>
      </c>
      <c r="B227" s="14" t="s">
        <v>10</v>
      </c>
      <c r="C227" s="15">
        <f>C206</f>
        <v>1.1000000000000001</v>
      </c>
      <c r="D227" s="15">
        <f>0.01*($C$213)</f>
        <v>1364.385141</v>
      </c>
      <c r="E227" s="15">
        <f>C227*D227</f>
        <v>1500.8236551</v>
      </c>
      <c r="I227" s="85"/>
      <c r="J227" s="85"/>
    </row>
    <row r="228" spans="1:10">
      <c r="A228" s="16" t="s">
        <v>196</v>
      </c>
      <c r="B228" s="17" t="s">
        <v>10</v>
      </c>
      <c r="C228" s="15">
        <f>C206</f>
        <v>1.1000000000000001</v>
      </c>
      <c r="D228" s="89">
        <v>96.77</v>
      </c>
      <c r="E228" s="18">
        <f>C228*D228</f>
        <v>106.447</v>
      </c>
      <c r="I228" s="85"/>
      <c r="J228" s="85"/>
    </row>
    <row r="229" spans="1:10">
      <c r="A229" s="16" t="s">
        <v>13</v>
      </c>
      <c r="B229" s="17" t="s">
        <v>10</v>
      </c>
      <c r="C229" s="15">
        <f>C206</f>
        <v>1.1000000000000001</v>
      </c>
      <c r="D229" s="89">
        <f>2510*1.05</f>
        <v>2635.5</v>
      </c>
      <c r="E229" s="18">
        <f>C229*D229</f>
        <v>2899.05</v>
      </c>
      <c r="F229" s="31"/>
      <c r="I229" s="85"/>
      <c r="J229" s="85"/>
    </row>
    <row r="230" spans="1:10" ht="13.8" thickBot="1">
      <c r="A230" s="103" t="s">
        <v>14</v>
      </c>
      <c r="B230" s="104" t="s">
        <v>8</v>
      </c>
      <c r="C230" s="104">
        <v>12</v>
      </c>
      <c r="D230" s="105">
        <f>SUM(E227:E229)</f>
        <v>4506.3206551000003</v>
      </c>
      <c r="E230" s="105">
        <f>D230/C230</f>
        <v>375.52672125833334</v>
      </c>
      <c r="I230" s="85"/>
      <c r="J230" s="85"/>
    </row>
    <row r="231" spans="1:10" ht="13.8" thickBot="1">
      <c r="D231" s="123" t="s">
        <v>197</v>
      </c>
      <c r="E231" s="327">
        <f>E223</f>
        <v>0.39772727272727271</v>
      </c>
      <c r="F231" s="124">
        <f>E230*E231</f>
        <v>149.35721868229166</v>
      </c>
      <c r="I231" s="85"/>
      <c r="J231" s="85"/>
    </row>
    <row r="232" spans="1:10" ht="11.25" customHeight="1">
      <c r="I232" s="85"/>
      <c r="J232" s="85"/>
    </row>
    <row r="233" spans="1:10">
      <c r="A233" s="9" t="s">
        <v>54</v>
      </c>
      <c r="B233" s="32"/>
      <c r="I233" s="85"/>
      <c r="J233" s="85"/>
    </row>
    <row r="234" spans="1:10">
      <c r="B234" s="32"/>
      <c r="I234" s="85"/>
      <c r="J234" s="85"/>
    </row>
    <row r="235" spans="1:10">
      <c r="A235" s="103" t="s">
        <v>121</v>
      </c>
      <c r="B235" s="358">
        <f>Roteiros!Q30+Roteiros!Q39</f>
        <v>1313.4339</v>
      </c>
      <c r="I235" s="85"/>
      <c r="J235" s="85"/>
    </row>
    <row r="236" spans="1:10" ht="13.8" thickBot="1">
      <c r="B236" s="32"/>
      <c r="I236" s="85"/>
      <c r="J236" s="85"/>
    </row>
    <row r="237" spans="1:10" ht="13.8" thickBot="1">
      <c r="A237" s="60" t="s">
        <v>64</v>
      </c>
      <c r="B237" s="61" t="s">
        <v>65</v>
      </c>
      <c r="C237" s="61" t="s">
        <v>261</v>
      </c>
      <c r="D237" s="62" t="s">
        <v>237</v>
      </c>
      <c r="E237" s="62" t="s">
        <v>66</v>
      </c>
      <c r="F237" s="63" t="s">
        <v>67</v>
      </c>
      <c r="I237" s="85"/>
      <c r="J237" s="85"/>
    </row>
    <row r="238" spans="1:10">
      <c r="A238" s="13" t="s">
        <v>15</v>
      </c>
      <c r="B238" s="14" t="s">
        <v>16</v>
      </c>
      <c r="C238" s="97">
        <v>2.1</v>
      </c>
      <c r="D238" s="98">
        <v>3.34</v>
      </c>
      <c r="E238" s="15"/>
      <c r="I238" s="85"/>
      <c r="J238" s="85"/>
    </row>
    <row r="239" spans="1:10">
      <c r="A239" s="16" t="s">
        <v>17</v>
      </c>
      <c r="B239" s="17" t="s">
        <v>18</v>
      </c>
      <c r="C239" s="94">
        <f>B235</f>
        <v>1313.4339</v>
      </c>
      <c r="D239" s="274">
        <f>IFERROR(+D238/C238,"-")</f>
        <v>1.5904761904761904</v>
      </c>
      <c r="E239" s="18">
        <f>IFERROR(C239*D239,"-")</f>
        <v>2088.9853457142854</v>
      </c>
      <c r="I239" s="85"/>
      <c r="J239" s="85"/>
    </row>
    <row r="240" spans="1:10">
      <c r="A240" s="16" t="s">
        <v>238</v>
      </c>
      <c r="B240" s="17" t="s">
        <v>19</v>
      </c>
      <c r="C240" s="100">
        <v>1.33</v>
      </c>
      <c r="D240" s="89">
        <v>12.4</v>
      </c>
      <c r="E240" s="18"/>
      <c r="G240" s="112"/>
      <c r="H240" s="52"/>
      <c r="I240" s="85"/>
      <c r="J240" s="85"/>
    </row>
    <row r="241" spans="1:10">
      <c r="A241" s="16" t="s">
        <v>20</v>
      </c>
      <c r="B241" s="17" t="s">
        <v>18</v>
      </c>
      <c r="C241" s="94">
        <f>C239</f>
        <v>1313.4339</v>
      </c>
      <c r="D241" s="271">
        <f>+C240*D240/1000</f>
        <v>1.6492E-2</v>
      </c>
      <c r="E241" s="18">
        <f>C241*D241</f>
        <v>21.661151878799998</v>
      </c>
      <c r="G241" s="112"/>
      <c r="H241" s="52"/>
      <c r="I241" s="85"/>
      <c r="J241" s="85"/>
    </row>
    <row r="242" spans="1:10">
      <c r="A242" s="16" t="s">
        <v>239</v>
      </c>
      <c r="B242" s="17" t="s">
        <v>19</v>
      </c>
      <c r="C242" s="100">
        <v>0.18</v>
      </c>
      <c r="D242" s="89">
        <v>22</v>
      </c>
      <c r="E242" s="18"/>
      <c r="G242" s="112"/>
      <c r="H242" s="52"/>
      <c r="I242" s="85"/>
      <c r="J242" s="85"/>
    </row>
    <row r="243" spans="1:10">
      <c r="A243" s="16" t="s">
        <v>21</v>
      </c>
      <c r="B243" s="17" t="s">
        <v>18</v>
      </c>
      <c r="C243" s="94">
        <f>C239</f>
        <v>1313.4339</v>
      </c>
      <c r="D243" s="271">
        <f>+C242*D242/1000</f>
        <v>3.96E-3</v>
      </c>
      <c r="E243" s="18">
        <f>C243*D243</f>
        <v>5.2011982439999995</v>
      </c>
      <c r="G243" s="112"/>
      <c r="H243" s="52"/>
      <c r="I243" s="85"/>
      <c r="J243" s="85"/>
    </row>
    <row r="244" spans="1:10">
      <c r="A244" s="16" t="s">
        <v>240</v>
      </c>
      <c r="B244" s="17" t="s">
        <v>19</v>
      </c>
      <c r="C244" s="100">
        <v>1</v>
      </c>
      <c r="D244" s="89">
        <v>18</v>
      </c>
      <c r="E244" s="18"/>
      <c r="G244" s="112"/>
      <c r="H244" s="52"/>
      <c r="I244" s="85"/>
      <c r="J244" s="85"/>
    </row>
    <row r="245" spans="1:10">
      <c r="A245" s="16" t="s">
        <v>22</v>
      </c>
      <c r="B245" s="17" t="s">
        <v>18</v>
      </c>
      <c r="C245" s="94">
        <f>C239</f>
        <v>1313.4339</v>
      </c>
      <c r="D245" s="271">
        <f>+C244*D244/1000</f>
        <v>1.7999999999999999E-2</v>
      </c>
      <c r="E245" s="18">
        <f>C245*D245</f>
        <v>23.641810199999998</v>
      </c>
      <c r="G245" s="112"/>
      <c r="H245" s="52"/>
      <c r="I245" s="85"/>
      <c r="J245" s="85"/>
    </row>
    <row r="246" spans="1:10">
      <c r="A246" s="344" t="s">
        <v>521</v>
      </c>
      <c r="B246" s="513" t="s">
        <v>19</v>
      </c>
      <c r="C246" s="533">
        <v>20</v>
      </c>
      <c r="D246" s="449">
        <v>1.8</v>
      </c>
      <c r="E246" s="408"/>
      <c r="G246" s="112"/>
      <c r="H246" s="52"/>
      <c r="I246" s="85"/>
      <c r="J246" s="85"/>
    </row>
    <row r="247" spans="1:10">
      <c r="A247" s="344" t="s">
        <v>520</v>
      </c>
      <c r="B247" s="513" t="s">
        <v>18</v>
      </c>
      <c r="C247" s="422">
        <f>C241</f>
        <v>1313.4339</v>
      </c>
      <c r="D247" s="458">
        <f>+C246*D246/1000</f>
        <v>3.5999999999999997E-2</v>
      </c>
      <c r="E247" s="408">
        <f>C247*D247</f>
        <v>47.283620399999997</v>
      </c>
      <c r="G247" s="112"/>
      <c r="H247" s="52"/>
      <c r="I247" s="85"/>
      <c r="J247" s="85"/>
    </row>
    <row r="248" spans="1:10">
      <c r="A248" s="16" t="s">
        <v>23</v>
      </c>
      <c r="B248" s="17" t="s">
        <v>24</v>
      </c>
      <c r="C248" s="100">
        <v>2</v>
      </c>
      <c r="D248" s="89">
        <v>8.4499999999999993</v>
      </c>
      <c r="E248" s="18"/>
      <c r="G248" s="112"/>
      <c r="H248" s="52"/>
      <c r="I248" s="85"/>
      <c r="J248" s="85"/>
    </row>
    <row r="249" spans="1:10">
      <c r="A249" s="16" t="s">
        <v>25</v>
      </c>
      <c r="B249" s="17" t="s">
        <v>18</v>
      </c>
      <c r="C249" s="94">
        <f>C239</f>
        <v>1313.4339</v>
      </c>
      <c r="D249" s="271">
        <f>+C248*D248/1000</f>
        <v>1.6899999999999998E-2</v>
      </c>
      <c r="E249" s="18">
        <f>C249*D249</f>
        <v>22.197032909999997</v>
      </c>
      <c r="G249" s="112"/>
      <c r="H249" s="52"/>
      <c r="I249" s="85"/>
      <c r="J249" s="85"/>
    </row>
    <row r="250" spans="1:10" ht="13.8" thickBot="1">
      <c r="A250" s="103" t="s">
        <v>260</v>
      </c>
      <c r="B250" s="104" t="s">
        <v>122</v>
      </c>
      <c r="C250" s="272"/>
      <c r="D250" s="273">
        <f>IFERROR(D239+D241+D243+D245+D249,0)</f>
        <v>1.6458281904761902</v>
      </c>
      <c r="E250" s="18"/>
      <c r="G250" s="112"/>
      <c r="H250" s="52"/>
      <c r="I250" s="85"/>
      <c r="J250" s="85"/>
    </row>
    <row r="251" spans="1:10" ht="13.8" thickBot="1">
      <c r="F251" s="21">
        <f>SUM(E238:E249)</f>
        <v>2208.970159347085</v>
      </c>
      <c r="I251" s="85"/>
      <c r="J251" s="85"/>
    </row>
    <row r="252" spans="1:10" ht="11.25" customHeight="1">
      <c r="I252" s="85"/>
      <c r="J252" s="85"/>
    </row>
    <row r="253" spans="1:10" ht="13.8" thickBot="1">
      <c r="A253" s="9" t="s">
        <v>55</v>
      </c>
      <c r="I253" s="85"/>
      <c r="J253" s="85"/>
    </row>
    <row r="254" spans="1:10" ht="13.8" thickBot="1">
      <c r="A254" s="60" t="s">
        <v>64</v>
      </c>
      <c r="B254" s="61" t="s">
        <v>65</v>
      </c>
      <c r="C254" s="61" t="s">
        <v>42</v>
      </c>
      <c r="D254" s="62" t="s">
        <v>237</v>
      </c>
      <c r="E254" s="62" t="s">
        <v>66</v>
      </c>
      <c r="F254" s="63" t="s">
        <v>67</v>
      </c>
      <c r="I254" s="85"/>
      <c r="J254" s="85"/>
    </row>
    <row r="255" spans="1:10" ht="13.8" thickBot="1">
      <c r="A255" s="13" t="s">
        <v>120</v>
      </c>
      <c r="B255" s="14" t="s">
        <v>122</v>
      </c>
      <c r="C255" s="94">
        <f>C239</f>
        <v>1313.4339</v>
      </c>
      <c r="D255" s="87">
        <v>0.82</v>
      </c>
      <c r="E255" s="15">
        <f>C255*D255</f>
        <v>1077.0157979999999</v>
      </c>
      <c r="I255" s="85"/>
      <c r="J255" s="85"/>
    </row>
    <row r="256" spans="1:10" ht="13.8" thickBot="1">
      <c r="F256" s="21">
        <f>E255</f>
        <v>1077.0157979999999</v>
      </c>
      <c r="I256" s="85"/>
      <c r="J256" s="85"/>
    </row>
    <row r="257" spans="1:10" ht="11.25" customHeight="1">
      <c r="I257" s="85"/>
      <c r="J257" s="85"/>
    </row>
    <row r="258" spans="1:10" ht="13.8" thickBot="1">
      <c r="A258" s="9" t="s">
        <v>62</v>
      </c>
      <c r="I258" s="85"/>
      <c r="J258" s="85"/>
    </row>
    <row r="259" spans="1:10" ht="13.8" thickBot="1">
      <c r="A259" s="60" t="s">
        <v>64</v>
      </c>
      <c r="B259" s="61" t="s">
        <v>65</v>
      </c>
      <c r="C259" s="61" t="s">
        <v>42</v>
      </c>
      <c r="D259" s="62" t="s">
        <v>237</v>
      </c>
      <c r="E259" s="62" t="s">
        <v>66</v>
      </c>
      <c r="F259" s="63" t="s">
        <v>67</v>
      </c>
      <c r="I259" s="85"/>
      <c r="J259" s="85"/>
    </row>
    <row r="260" spans="1:10">
      <c r="A260" s="308" t="s">
        <v>519</v>
      </c>
      <c r="B260" s="14" t="s">
        <v>10</v>
      </c>
      <c r="C260" s="96">
        <v>6</v>
      </c>
      <c r="D260" s="87">
        <v>1600</v>
      </c>
      <c r="E260" s="15">
        <f>C260*D260</f>
        <v>9600</v>
      </c>
      <c r="I260" s="85"/>
      <c r="J260" s="85"/>
    </row>
    <row r="261" spans="1:10">
      <c r="A261" s="13" t="s">
        <v>123</v>
      </c>
      <c r="B261" s="14" t="s">
        <v>10</v>
      </c>
      <c r="C261" s="96">
        <v>2</v>
      </c>
      <c r="D261" s="106"/>
      <c r="E261" s="15"/>
      <c r="I261" s="85"/>
      <c r="J261" s="85"/>
    </row>
    <row r="262" spans="1:10">
      <c r="A262" s="13" t="s">
        <v>72</v>
      </c>
      <c r="B262" s="14" t="s">
        <v>10</v>
      </c>
      <c r="C262" s="15">
        <f>C260*C261</f>
        <v>12</v>
      </c>
      <c r="D262" s="87">
        <v>500</v>
      </c>
      <c r="E262" s="15">
        <f>C262*D262</f>
        <v>6000</v>
      </c>
      <c r="I262" s="85"/>
      <c r="J262" s="85"/>
    </row>
    <row r="263" spans="1:10">
      <c r="A263" s="16" t="s">
        <v>98</v>
      </c>
      <c r="B263" s="17" t="s">
        <v>26</v>
      </c>
      <c r="C263" s="99">
        <v>70000</v>
      </c>
      <c r="D263" s="18">
        <f>E260+E262</f>
        <v>15600</v>
      </c>
      <c r="E263" s="18">
        <f>IFERROR(D263/C263,"-")</f>
        <v>0.22285714285714286</v>
      </c>
      <c r="I263" s="85"/>
      <c r="J263" s="85"/>
    </row>
    <row r="264" spans="1:10" ht="13.8" thickBot="1">
      <c r="A264" s="16" t="s">
        <v>57</v>
      </c>
      <c r="B264" s="17" t="s">
        <v>18</v>
      </c>
      <c r="C264" s="94">
        <f>B235</f>
        <v>1313.4339</v>
      </c>
      <c r="D264" s="18">
        <f>E263</f>
        <v>0.22285714285714286</v>
      </c>
      <c r="E264" s="18">
        <f>IFERROR(C264*D264,0)</f>
        <v>292.70812628571429</v>
      </c>
      <c r="I264" s="85"/>
      <c r="J264" s="85"/>
    </row>
    <row r="265" spans="1:10" ht="13.8" thickBot="1">
      <c r="F265" s="21">
        <f>E264</f>
        <v>292.70812628571429</v>
      </c>
      <c r="I265" s="85"/>
      <c r="J265" s="85"/>
    </row>
    <row r="266" spans="1:10" ht="11.25" customHeight="1">
      <c r="I266" s="85"/>
      <c r="J266" s="85"/>
    </row>
    <row r="267" spans="1:10" ht="11.25" customHeight="1" thickBot="1">
      <c r="G267" s="9"/>
    </row>
    <row r="268" spans="1:10" ht="13.8" thickBot="1">
      <c r="A268" s="24" t="s">
        <v>230</v>
      </c>
      <c r="B268" s="25"/>
      <c r="C268" s="25"/>
      <c r="D268" s="26"/>
      <c r="E268" s="27"/>
      <c r="F268" s="21">
        <f>+SUM(F195:F267)</f>
        <v>4511.1016201463417</v>
      </c>
      <c r="G268" s="9"/>
    </row>
    <row r="269" spans="1:10" ht="11.25" customHeight="1">
      <c r="G269" s="9"/>
    </row>
    <row r="270" spans="1:10">
      <c r="A270" s="34" t="s">
        <v>76</v>
      </c>
      <c r="B270" s="34"/>
      <c r="C270" s="34"/>
      <c r="D270" s="35"/>
      <c r="E270" s="35"/>
      <c r="F270" s="33"/>
      <c r="G270" s="9"/>
    </row>
    <row r="271" spans="1:10" ht="11.25" customHeight="1" thickBot="1">
      <c r="G271" s="9"/>
    </row>
    <row r="272" spans="1:10" ht="13.8" thickBot="1">
      <c r="A272" s="60" t="s">
        <v>64</v>
      </c>
      <c r="B272" s="61" t="s">
        <v>65</v>
      </c>
      <c r="C272" s="61" t="s">
        <v>42</v>
      </c>
      <c r="D272" s="62" t="s">
        <v>237</v>
      </c>
      <c r="E272" s="62" t="s">
        <v>66</v>
      </c>
      <c r="F272" s="63" t="s">
        <v>67</v>
      </c>
      <c r="G272" s="9"/>
    </row>
    <row r="273" spans="1:7">
      <c r="A273" s="16" t="s">
        <v>73</v>
      </c>
      <c r="B273" s="17" t="s">
        <v>10</v>
      </c>
      <c r="C273" s="101">
        <v>0.16666666666666666</v>
      </c>
      <c r="D273" s="87">
        <v>39</v>
      </c>
      <c r="E273" s="18">
        <f>C273*D273</f>
        <v>6.5</v>
      </c>
      <c r="F273" s="55"/>
      <c r="G273" s="9"/>
    </row>
    <row r="274" spans="1:7">
      <c r="A274" s="16" t="s">
        <v>28</v>
      </c>
      <c r="B274" s="17" t="s">
        <v>10</v>
      </c>
      <c r="C274" s="101">
        <v>0.16666666666666666</v>
      </c>
      <c r="D274" s="87">
        <v>26.92</v>
      </c>
      <c r="E274" s="18">
        <f>C274*D274</f>
        <v>4.4866666666666664</v>
      </c>
      <c r="F274" s="55"/>
      <c r="G274" s="9"/>
    </row>
    <row r="275" spans="1:7">
      <c r="A275" s="16" t="s">
        <v>29</v>
      </c>
      <c r="B275" s="17" t="s">
        <v>10</v>
      </c>
      <c r="C275" s="101">
        <v>0.16666666666666666</v>
      </c>
      <c r="D275" s="87">
        <v>26.19</v>
      </c>
      <c r="E275" s="18">
        <f>C275*D275</f>
        <v>4.3650000000000002</v>
      </c>
      <c r="F275" s="55"/>
      <c r="G275" s="9"/>
    </row>
    <row r="276" spans="1:7">
      <c r="A276" s="344" t="s">
        <v>560</v>
      </c>
      <c r="B276" s="513" t="s">
        <v>10</v>
      </c>
      <c r="C276" s="531">
        <v>20</v>
      </c>
      <c r="D276" s="87">
        <v>10</v>
      </c>
      <c r="E276" s="18">
        <f t="shared" ref="E276" si="5">C276*D276</f>
        <v>200</v>
      </c>
      <c r="F276" s="55"/>
      <c r="G276" s="9"/>
    </row>
    <row r="277" spans="1:7">
      <c r="A277" s="344" t="s">
        <v>439</v>
      </c>
      <c r="B277" s="513" t="s">
        <v>10</v>
      </c>
      <c r="C277" s="101">
        <v>8.3333333333333329E-2</v>
      </c>
      <c r="D277" s="87">
        <v>500</v>
      </c>
      <c r="E277" s="18">
        <f>C277*D277</f>
        <v>41.666666666666664</v>
      </c>
      <c r="F277" s="55"/>
      <c r="G277" s="9"/>
    </row>
    <row r="278" spans="1:7" ht="13.8" thickBot="1">
      <c r="A278" s="344" t="s">
        <v>441</v>
      </c>
      <c r="B278" s="513" t="s">
        <v>440</v>
      </c>
      <c r="C278" s="101">
        <v>1</v>
      </c>
      <c r="D278" s="87">
        <v>100</v>
      </c>
      <c r="E278" s="18">
        <f>C278*D278</f>
        <v>100</v>
      </c>
      <c r="F278" s="55"/>
      <c r="G278" s="9"/>
    </row>
    <row r="279" spans="1:7" ht="13.8" thickBot="1">
      <c r="A279" s="34"/>
      <c r="B279" s="34"/>
      <c r="C279" s="34"/>
      <c r="D279" s="34"/>
      <c r="E279" s="35"/>
      <c r="F279" s="21">
        <f>SUM(E273:E278)</f>
        <v>357.01833333333332</v>
      </c>
      <c r="G279" s="9"/>
    </row>
    <row r="280" spans="1:7" ht="11.25" customHeight="1" thickBot="1">
      <c r="G280" s="9"/>
    </row>
    <row r="281" spans="1:7" ht="13.8" thickBot="1">
      <c r="A281" s="24" t="s">
        <v>231</v>
      </c>
      <c r="B281" s="25"/>
      <c r="C281" s="25"/>
      <c r="D281" s="26"/>
      <c r="E281" s="27"/>
      <c r="F281" s="21">
        <f>+F279</f>
        <v>357.01833333333332</v>
      </c>
      <c r="G281" s="9"/>
    </row>
    <row r="282" spans="1:7" ht="11.25" customHeight="1">
      <c r="G282" s="9"/>
    </row>
    <row r="283" spans="1:7">
      <c r="A283" s="34" t="s">
        <v>77</v>
      </c>
      <c r="B283" s="34"/>
      <c r="C283" s="34"/>
      <c r="D283" s="35"/>
      <c r="E283" s="35"/>
      <c r="F283" s="33"/>
    </row>
    <row r="284" spans="1:7" ht="11.25" customHeight="1" thickBot="1"/>
    <row r="285" spans="1:7" ht="13.8" thickBot="1">
      <c r="A285" s="60" t="s">
        <v>64</v>
      </c>
      <c r="B285" s="61" t="s">
        <v>65</v>
      </c>
      <c r="C285" s="61" t="s">
        <v>42</v>
      </c>
      <c r="D285" s="62" t="s">
        <v>237</v>
      </c>
      <c r="E285" s="62" t="s">
        <v>66</v>
      </c>
      <c r="F285" s="63" t="s">
        <v>67</v>
      </c>
    </row>
    <row r="286" spans="1:7">
      <c r="A286" s="16" t="s">
        <v>228</v>
      </c>
      <c r="B286" s="53" t="s">
        <v>59</v>
      </c>
      <c r="C286" s="69">
        <f>C195</f>
        <v>1</v>
      </c>
      <c r="D286" s="89">
        <v>600</v>
      </c>
      <c r="E286" s="18">
        <f>+D286*C286</f>
        <v>600</v>
      </c>
      <c r="F286" s="55"/>
    </row>
    <row r="287" spans="1:7">
      <c r="A287" s="16" t="s">
        <v>61</v>
      </c>
      <c r="B287" s="53" t="s">
        <v>8</v>
      </c>
      <c r="C287" s="155">
        <v>60</v>
      </c>
      <c r="D287" s="80">
        <f>SUM(E286:E286)</f>
        <v>600</v>
      </c>
      <c r="E287" s="80">
        <f>+D287/C287</f>
        <v>10</v>
      </c>
      <c r="F287" s="55"/>
    </row>
    <row r="288" spans="1:7">
      <c r="A288" s="16" t="s">
        <v>229</v>
      </c>
      <c r="B288" s="17" t="s">
        <v>10</v>
      </c>
      <c r="C288" s="69">
        <f>+C286</f>
        <v>1</v>
      </c>
      <c r="D288" s="89">
        <v>110</v>
      </c>
      <c r="E288" s="18">
        <f>C288*D288</f>
        <v>110</v>
      </c>
      <c r="F288" s="55"/>
    </row>
    <row r="289" spans="1:7" ht="13.8" thickBot="1">
      <c r="A289" s="16" t="s">
        <v>39</v>
      </c>
      <c r="B289" s="53" t="s">
        <v>8</v>
      </c>
      <c r="C289" s="155">
        <v>1</v>
      </c>
      <c r="D289" s="80">
        <f>+E288</f>
        <v>110</v>
      </c>
      <c r="E289" s="80">
        <f>+D289/C289</f>
        <v>110</v>
      </c>
      <c r="F289" s="55"/>
    </row>
    <row r="290" spans="1:7" ht="13.8" thickBot="1">
      <c r="A290" s="81"/>
      <c r="B290" s="81"/>
      <c r="C290" s="81"/>
      <c r="D290" s="123" t="s">
        <v>197</v>
      </c>
      <c r="E290" s="327">
        <f>E231</f>
        <v>0.39772727272727271</v>
      </c>
      <c r="F290" s="82">
        <f>(E287+E289)*E290</f>
        <v>47.727272727272727</v>
      </c>
    </row>
    <row r="291" spans="1:7" s="51" customFormat="1" ht="11.25" customHeight="1" thickBot="1">
      <c r="A291" s="9"/>
      <c r="B291" s="9"/>
      <c r="C291" s="9"/>
      <c r="D291" s="10"/>
      <c r="E291" s="10"/>
      <c r="F291" s="10"/>
      <c r="G291" s="84"/>
    </row>
    <row r="292" spans="1:7" ht="13.8" thickBot="1">
      <c r="A292" s="24" t="s">
        <v>227</v>
      </c>
      <c r="B292" s="25"/>
      <c r="C292" s="25"/>
      <c r="D292" s="26"/>
      <c r="E292" s="27"/>
      <c r="F292" s="21">
        <f>+F290</f>
        <v>47.727272727272727</v>
      </c>
    </row>
    <row r="293" spans="1:7" ht="11.25" customHeight="1" thickBot="1"/>
    <row r="294" spans="1:7" ht="17.25" customHeight="1" thickBot="1">
      <c r="A294" s="24" t="s">
        <v>232</v>
      </c>
      <c r="B294" s="28"/>
      <c r="C294" s="28"/>
      <c r="D294" s="29"/>
      <c r="E294" s="30"/>
      <c r="F294" s="22">
        <f>+F153+F187+F268+F281+F292</f>
        <v>9277.2281635535364</v>
      </c>
    </row>
    <row r="295" spans="1:7" ht="11.25" customHeight="1"/>
    <row r="296" spans="1:7">
      <c r="A296" s="11" t="s">
        <v>91</v>
      </c>
    </row>
    <row r="297" spans="1:7" ht="11.25" customHeight="1" thickBot="1"/>
    <row r="298" spans="1:7" ht="13.8" thickBot="1">
      <c r="A298" s="60" t="s">
        <v>64</v>
      </c>
      <c r="B298" s="61" t="s">
        <v>65</v>
      </c>
      <c r="C298" s="61" t="s">
        <v>42</v>
      </c>
      <c r="D298" s="62" t="s">
        <v>237</v>
      </c>
      <c r="E298" s="62" t="s">
        <v>66</v>
      </c>
      <c r="F298" s="63" t="s">
        <v>67</v>
      </c>
    </row>
    <row r="299" spans="1:7" ht="13.8" thickBot="1">
      <c r="A299" s="13" t="s">
        <v>38</v>
      </c>
      <c r="B299" s="14" t="s">
        <v>2</v>
      </c>
      <c r="C299" s="141">
        <f>'7.BDI'!C21*100</f>
        <v>24.84</v>
      </c>
      <c r="D299" s="15">
        <f>+F294</f>
        <v>9277.2281635535364</v>
      </c>
      <c r="E299" s="15">
        <f>C299*D299/100</f>
        <v>2304.4634758266984</v>
      </c>
    </row>
    <row r="300" spans="1:7" ht="13.8" thickBot="1">
      <c r="F300" s="21">
        <f>+E299</f>
        <v>2304.4634758266984</v>
      </c>
    </row>
    <row r="301" spans="1:7" ht="11.25" customHeight="1" thickBot="1"/>
    <row r="302" spans="1:7" ht="13.8" thickBot="1">
      <c r="A302" s="24" t="s">
        <v>242</v>
      </c>
      <c r="B302" s="28"/>
      <c r="C302" s="28"/>
      <c r="D302" s="29"/>
      <c r="E302" s="30"/>
      <c r="F302" s="22">
        <f>F300</f>
        <v>2304.4634758266984</v>
      </c>
    </row>
    <row r="303" spans="1:7">
      <c r="A303" s="34"/>
      <c r="B303" s="34"/>
      <c r="C303" s="34"/>
      <c r="D303" s="35"/>
      <c r="E303" s="35"/>
      <c r="F303" s="33"/>
    </row>
    <row r="304" spans="1:7" ht="11.25" customHeight="1" thickBot="1"/>
    <row r="305" spans="1:7" ht="24.75" customHeight="1" thickBot="1">
      <c r="A305" s="24" t="s">
        <v>233</v>
      </c>
      <c r="B305" s="28"/>
      <c r="C305" s="28"/>
      <c r="D305" s="29"/>
      <c r="E305" s="30"/>
      <c r="F305" s="22">
        <f>F294+F302</f>
        <v>11581.691639380235</v>
      </c>
    </row>
    <row r="306" spans="1:7" ht="12.6" customHeight="1">
      <c r="A306" s="56"/>
      <c r="B306" s="56"/>
      <c r="C306" s="56"/>
      <c r="D306" s="57"/>
      <c r="E306" s="57"/>
      <c r="F306" s="57"/>
    </row>
    <row r="307" spans="1:7" ht="13.8" hidden="1">
      <c r="A307" s="8"/>
      <c r="B307" s="8"/>
      <c r="C307" s="8"/>
      <c r="D307" s="36"/>
      <c r="E307" s="36"/>
    </row>
    <row r="308" spans="1:7" ht="16.2" hidden="1" customHeight="1">
      <c r="A308" s="252" t="s">
        <v>226</v>
      </c>
      <c r="B308" s="253"/>
      <c r="C308" s="253"/>
      <c r="D308" s="254"/>
      <c r="E308" s="255" t="s">
        <v>27</v>
      </c>
      <c r="G308" s="10" t="s">
        <v>207</v>
      </c>
    </row>
    <row r="309" spans="1:7" hidden="1"/>
    <row r="310" spans="1:7" ht="25.5" hidden="1" customHeight="1" thickBot="1">
      <c r="A310" s="24" t="s">
        <v>71</v>
      </c>
      <c r="B310" s="25"/>
      <c r="C310" s="25"/>
      <c r="D310" s="26"/>
      <c r="E310" s="256" t="s">
        <v>34</v>
      </c>
      <c r="F310" s="257" t="str">
        <f>IFERROR(F305/D308,"-")</f>
        <v>-</v>
      </c>
      <c r="G310" s="10" t="s">
        <v>207</v>
      </c>
    </row>
    <row r="311" spans="1:7" ht="12.6" hidden="1" customHeight="1">
      <c r="A311" s="34"/>
      <c r="B311" s="34"/>
      <c r="C311" s="34"/>
      <c r="D311" s="35"/>
      <c r="E311" s="35"/>
      <c r="F311" s="35"/>
    </row>
    <row r="312" spans="1:7" s="4" customFormat="1" ht="9.75" hidden="1" customHeight="1">
      <c r="A312" s="39"/>
      <c r="B312" s="10"/>
      <c r="C312" s="10"/>
      <c r="D312" s="10"/>
      <c r="E312" s="10"/>
      <c r="F312" s="10"/>
      <c r="G312" s="6"/>
    </row>
    <row r="313" spans="1:7" s="4" customFormat="1" ht="9.75" hidden="1" customHeight="1">
      <c r="A313" s="39"/>
      <c r="B313" s="10"/>
      <c r="C313" s="10"/>
      <c r="D313" s="10"/>
      <c r="E313" s="10"/>
      <c r="F313" s="10"/>
      <c r="G313" s="6"/>
    </row>
    <row r="314" spans="1:7" s="4" customFormat="1" ht="9.75" hidden="1" customHeight="1">
      <c r="A314" s="39"/>
      <c r="B314" s="10"/>
      <c r="C314" s="10"/>
      <c r="D314" s="10"/>
      <c r="E314" s="10"/>
      <c r="F314" s="10"/>
      <c r="G314" s="6"/>
    </row>
    <row r="344" spans="4:7" ht="9" customHeight="1">
      <c r="D344" s="9"/>
      <c r="E344" s="9"/>
      <c r="F344" s="9"/>
      <c r="G344" s="9"/>
    </row>
  </sheetData>
  <mergeCells count="7">
    <mergeCell ref="A49:D49"/>
    <mergeCell ref="A12:F12"/>
    <mergeCell ref="A13:F13"/>
    <mergeCell ref="A15:F15"/>
    <mergeCell ref="A26:C26"/>
    <mergeCell ref="A41:E41"/>
    <mergeCell ref="A42:D42"/>
  </mergeCells>
  <hyperlinks>
    <hyperlink ref="A209" location="AbaRemun" display="3.1.2. Remuneração do Capital"/>
    <hyperlink ref="A193" location="AbaDeprec" display="3.1.1. Depreciação"/>
  </hyperlinks>
  <pageMargins left="0.9055118110236221" right="0.51181102362204722" top="0.74803149606299213" bottom="0.74803149606299213" header="0.31496062992125984" footer="0.31496062992125984"/>
  <pageSetup paperSize="9" scale="77" fitToHeight="4" orientation="portrait" verticalDpi="300" r:id="rId1"/>
  <headerFooter alignWithMargins="0">
    <oddFooter>&amp;R&amp;P de &amp;N</oddFooter>
  </headerFooter>
  <rowBreaks count="2" manualBreakCount="2">
    <brk id="125" max="5" man="1"/>
    <brk id="208" max="5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40"/>
  <sheetViews>
    <sheetView view="pageBreakPreview" topLeftCell="A7" zoomScaleSheetLayoutView="100" workbookViewId="0">
      <selection activeCell="A7" sqref="A7"/>
    </sheetView>
  </sheetViews>
  <sheetFormatPr defaultColWidth="9.109375" defaultRowHeight="13.2"/>
  <cols>
    <col min="1" max="1" width="44.5546875" style="7" customWidth="1"/>
    <col min="2" max="2" width="16" style="7" bestFit="1" customWidth="1"/>
    <col min="3" max="3" width="11.88671875" style="7" customWidth="1"/>
    <col min="4" max="4" width="14.6640625" style="361" customWidth="1"/>
    <col min="5" max="5" width="15.44140625" style="361" customWidth="1"/>
    <col min="6" max="6" width="13.33203125" style="361" customWidth="1"/>
    <col min="7" max="7" width="28.109375" style="361" customWidth="1"/>
    <col min="8" max="8" width="9.109375" style="7"/>
    <col min="9" max="9" width="14.5546875" style="7" customWidth="1"/>
    <col min="10" max="10" width="13.44140625" style="7" customWidth="1"/>
    <col min="11" max="16384" width="9.109375" style="7"/>
  </cols>
  <sheetData>
    <row r="1" spans="1:7" hidden="1">
      <c r="A1" s="11" t="s">
        <v>205</v>
      </c>
    </row>
    <row r="2" spans="1:7" hidden="1">
      <c r="A2" s="283" t="s">
        <v>405</v>
      </c>
    </row>
    <row r="3" spans="1:7" s="4" customFormat="1" ht="15.6" hidden="1" customHeight="1">
      <c r="A3" s="7" t="s">
        <v>206</v>
      </c>
      <c r="C3" s="139"/>
      <c r="D3" s="139"/>
      <c r="E3" s="139"/>
      <c r="F3" s="139"/>
      <c r="G3" s="6"/>
    </row>
    <row r="4" spans="1:7" s="4" customFormat="1" ht="15.6" hidden="1" customHeight="1">
      <c r="A4" s="283" t="s">
        <v>406</v>
      </c>
      <c r="B4" s="139"/>
      <c r="C4" s="139"/>
      <c r="D4" s="139"/>
      <c r="E4" s="139"/>
      <c r="F4" s="139"/>
      <c r="G4" s="6"/>
    </row>
    <row r="5" spans="1:7" s="4" customFormat="1" ht="15.6" hidden="1" customHeight="1">
      <c r="A5" s="534"/>
      <c r="B5" s="535"/>
      <c r="C5" s="535"/>
      <c r="D5" s="535"/>
      <c r="E5" s="535"/>
      <c r="F5" s="139"/>
      <c r="G5" s="6"/>
    </row>
    <row r="6" spans="1:7" s="4" customFormat="1" ht="15.6" hidden="1" customHeight="1">
      <c r="A6" s="534"/>
      <c r="B6" s="535"/>
      <c r="C6" s="535"/>
      <c r="D6" s="535"/>
      <c r="E6" s="535"/>
      <c r="F6" s="139"/>
      <c r="G6" s="6"/>
    </row>
    <row r="7" spans="1:7" s="4" customFormat="1" ht="22.5" customHeight="1" thickBot="1">
      <c r="A7" s="352" t="s">
        <v>444</v>
      </c>
      <c r="B7" s="537"/>
      <c r="C7" s="537"/>
      <c r="D7" s="538"/>
      <c r="E7" s="538"/>
      <c r="F7" s="6"/>
      <c r="G7" s="6"/>
    </row>
    <row r="8" spans="1:7" s="8" customFormat="1" ht="17.399999999999999">
      <c r="A8" s="624" t="s">
        <v>538</v>
      </c>
      <c r="B8" s="625"/>
      <c r="C8" s="625"/>
      <c r="D8" s="625"/>
      <c r="E8" s="625"/>
      <c r="F8" s="626"/>
      <c r="G8" s="36"/>
    </row>
    <row r="9" spans="1:7" s="8" customFormat="1" ht="18.600000000000001" customHeight="1">
      <c r="A9" s="627" t="s">
        <v>45</v>
      </c>
      <c r="B9" s="628"/>
      <c r="C9" s="628"/>
      <c r="D9" s="628"/>
      <c r="E9" s="628"/>
      <c r="F9" s="629"/>
      <c r="G9" s="36"/>
    </row>
    <row r="10" spans="1:7" s="4" customFormat="1" ht="7.2" customHeight="1" thickBot="1">
      <c r="A10" s="151"/>
      <c r="B10" s="152"/>
      <c r="C10" s="152"/>
      <c r="D10" s="153"/>
      <c r="E10" s="153"/>
      <c r="F10" s="154"/>
      <c r="G10" s="6"/>
    </row>
    <row r="11" spans="1:7" s="4" customFormat="1" ht="15.75" customHeight="1" thickBot="1">
      <c r="A11" s="633" t="s">
        <v>204</v>
      </c>
      <c r="B11" s="634"/>
      <c r="C11" s="634"/>
      <c r="D11" s="634"/>
      <c r="E11" s="634"/>
      <c r="F11" s="635"/>
      <c r="G11" s="6"/>
    </row>
    <row r="12" spans="1:7" s="4" customFormat="1" ht="15.75" customHeight="1">
      <c r="A12" s="64" t="s">
        <v>203</v>
      </c>
      <c r="B12" s="40"/>
      <c r="C12" s="40"/>
      <c r="D12" s="261"/>
      <c r="E12" s="115" t="s">
        <v>40</v>
      </c>
      <c r="F12" s="41" t="s">
        <v>2</v>
      </c>
      <c r="G12" s="6"/>
    </row>
    <row r="13" spans="1:7" s="4" customFormat="1" ht="15.75" customHeight="1">
      <c r="A13" s="532" t="str">
        <f>A27</f>
        <v xml:space="preserve">1. Contentores </v>
      </c>
      <c r="B13" s="46"/>
      <c r="C13" s="47"/>
      <c r="D13" s="47"/>
      <c r="E13" s="258">
        <f>SUM(E14:E16)</f>
        <v>4445.6039999999994</v>
      </c>
      <c r="F13" s="128">
        <f>IFERROR(E13/$E$18,0)</f>
        <v>0.80102531239987185</v>
      </c>
      <c r="G13" s="6"/>
    </row>
    <row r="14" spans="1:7" s="4" customFormat="1" ht="15.75" customHeight="1">
      <c r="A14" s="65" t="str">
        <f>A29</f>
        <v>1.1.1. Depreciação</v>
      </c>
      <c r="B14" s="46"/>
      <c r="C14" s="47"/>
      <c r="D14" s="47"/>
      <c r="E14" s="259">
        <f>F43</f>
        <v>1223.3399999999999</v>
      </c>
      <c r="F14" s="374">
        <f>IFERROR(E14/$E$18,0)</f>
        <v>0.22042590965620404</v>
      </c>
      <c r="G14" s="6"/>
    </row>
    <row r="15" spans="1:7" s="4" customFormat="1" ht="15.75" customHeight="1">
      <c r="A15" s="65" t="str">
        <f>A45</f>
        <v>1.1.2. Remuneração do Capital</v>
      </c>
      <c r="B15" s="46"/>
      <c r="C15" s="47"/>
      <c r="D15" s="47"/>
      <c r="E15" s="259">
        <f>F59</f>
        <v>122.334</v>
      </c>
      <c r="F15" s="374">
        <f>IFERROR(E15/$E$18,0)</f>
        <v>2.2042590965620407E-2</v>
      </c>
      <c r="G15" s="6"/>
    </row>
    <row r="16" spans="1:7" s="4" customFormat="1" ht="15.75" customHeight="1">
      <c r="A16" s="65" t="str">
        <f>A87</f>
        <v xml:space="preserve">1.1.3 Lavagem e manutenção dos contentores </v>
      </c>
      <c r="B16" s="46"/>
      <c r="C16" s="47"/>
      <c r="D16" s="47"/>
      <c r="E16" s="259">
        <f>F93</f>
        <v>3099.93</v>
      </c>
      <c r="F16" s="374">
        <f>IFERROR(E16/$E$18,0)</f>
        <v>0.5585568117780475</v>
      </c>
      <c r="G16" s="6"/>
    </row>
    <row r="17" spans="1:7" s="11" customFormat="1" ht="15.75" customHeight="1" thickBot="1">
      <c r="A17" s="532" t="str">
        <f>A97</f>
        <v>2. Benefícios e Despesas Indiretas - BDI</v>
      </c>
      <c r="B17" s="137"/>
      <c r="C17" s="127"/>
      <c r="D17" s="127"/>
      <c r="E17" s="260">
        <f>+F103</f>
        <v>1104.2880335999998</v>
      </c>
      <c r="F17" s="128">
        <f>IFERROR(E17/$E$18,0)</f>
        <v>0.19897468760012815</v>
      </c>
      <c r="G17" s="44"/>
    </row>
    <row r="18" spans="1:7" s="4" customFormat="1" ht="15.75" customHeight="1" thickBot="1">
      <c r="A18" s="42" t="s">
        <v>241</v>
      </c>
      <c r="B18" s="43"/>
      <c r="C18" s="26"/>
      <c r="D18" s="26"/>
      <c r="E18" s="114">
        <f>E17+E13</f>
        <v>5549.8920335999992</v>
      </c>
      <c r="F18" s="143">
        <f>F13+F17</f>
        <v>1</v>
      </c>
      <c r="G18" s="6"/>
    </row>
    <row r="19" spans="1:7" ht="9" customHeight="1"/>
    <row r="20" spans="1:7" s="4" customFormat="1" ht="5.4" customHeight="1" thickBot="1">
      <c r="A20" s="129"/>
      <c r="B20" s="130"/>
      <c r="C20" s="389"/>
      <c r="D20" s="389"/>
      <c r="E20" s="390"/>
      <c r="F20" s="361"/>
      <c r="G20" s="6"/>
    </row>
    <row r="21" spans="1:7" s="4" customFormat="1" ht="15" customHeight="1">
      <c r="A21" s="636" t="s">
        <v>524</v>
      </c>
      <c r="B21" s="637"/>
      <c r="C21" s="637"/>
      <c r="D21" s="638"/>
      <c r="E21" s="48" t="s">
        <v>42</v>
      </c>
      <c r="F21" s="7"/>
      <c r="G21" s="6"/>
    </row>
    <row r="22" spans="1:7" s="4" customFormat="1" ht="15" customHeight="1">
      <c r="A22" s="382" t="str">
        <f>+A27</f>
        <v xml:space="preserve">1. Contentores </v>
      </c>
      <c r="B22" s="383"/>
      <c r="C22" s="383"/>
      <c r="D22" s="77"/>
      <c r="E22" s="385">
        <f>C42</f>
        <v>60</v>
      </c>
      <c r="F22" s="7"/>
      <c r="G22" s="6"/>
    </row>
    <row r="23" spans="1:7" s="4" customFormat="1" ht="15" customHeight="1" thickBot="1">
      <c r="A23" s="71" t="s">
        <v>545</v>
      </c>
      <c r="B23" s="72"/>
      <c r="C23" s="72"/>
      <c r="D23" s="78"/>
      <c r="E23" s="79">
        <f>SUM(E22)</f>
        <v>60</v>
      </c>
      <c r="F23" s="7"/>
      <c r="G23" s="6"/>
    </row>
    <row r="24" spans="1:7" s="4" customFormat="1" ht="8.4" customHeight="1" thickBot="1">
      <c r="A24" s="389"/>
      <c r="B24" s="389"/>
      <c r="C24" s="389"/>
      <c r="D24" s="138"/>
      <c r="E24" s="397"/>
      <c r="F24" s="7"/>
      <c r="G24" s="6"/>
    </row>
    <row r="25" spans="1:7" s="11" customFormat="1" ht="15.75" customHeight="1" thickBot="1">
      <c r="A25" s="262" t="s">
        <v>198</v>
      </c>
      <c r="B25" s="539">
        <v>1</v>
      </c>
      <c r="C25" s="35"/>
      <c r="D25" s="34"/>
      <c r="E25" s="156"/>
      <c r="G25" s="44"/>
    </row>
    <row r="26" spans="1:7">
      <c r="A26" s="34"/>
      <c r="B26" s="34"/>
      <c r="C26" s="34"/>
      <c r="D26" s="35"/>
      <c r="E26" s="35"/>
      <c r="F26" s="33"/>
      <c r="G26" s="7"/>
    </row>
    <row r="27" spans="1:7">
      <c r="A27" s="11" t="s">
        <v>544</v>
      </c>
      <c r="G27" s="7"/>
    </row>
    <row r="28" spans="1:7">
      <c r="G28" s="7"/>
    </row>
    <row r="29" spans="1:7" ht="13.8" thickBot="1">
      <c r="A29" s="107" t="s">
        <v>529</v>
      </c>
      <c r="G29" s="7"/>
    </row>
    <row r="30" spans="1:7" ht="13.8" thickBot="1">
      <c r="A30" s="60" t="s">
        <v>64</v>
      </c>
      <c r="B30" s="61" t="s">
        <v>65</v>
      </c>
      <c r="C30" s="61" t="s">
        <v>42</v>
      </c>
      <c r="D30" s="62" t="s">
        <v>237</v>
      </c>
      <c r="E30" s="62" t="s">
        <v>66</v>
      </c>
      <c r="F30" s="63" t="s">
        <v>67</v>
      </c>
      <c r="G30" s="7"/>
    </row>
    <row r="31" spans="1:7">
      <c r="A31" s="308" t="s">
        <v>539</v>
      </c>
      <c r="B31" s="540" t="s">
        <v>10</v>
      </c>
      <c r="C31" s="541">
        <v>1</v>
      </c>
      <c r="D31" s="460">
        <v>1223.3399999999999</v>
      </c>
      <c r="E31" s="404">
        <f>C31*D31</f>
        <v>1223.3399999999999</v>
      </c>
      <c r="G31" s="7"/>
    </row>
    <row r="32" spans="1:7">
      <c r="A32" s="344" t="s">
        <v>541</v>
      </c>
      <c r="B32" s="513" t="s">
        <v>107</v>
      </c>
      <c r="C32" s="542">
        <v>5</v>
      </c>
      <c r="D32" s="407"/>
      <c r="E32" s="408"/>
      <c r="G32" s="7"/>
    </row>
    <row r="33" spans="1:7">
      <c r="A33" s="344" t="s">
        <v>540</v>
      </c>
      <c r="B33" s="513" t="s">
        <v>107</v>
      </c>
      <c r="C33" s="542">
        <v>0</v>
      </c>
      <c r="D33" s="407"/>
      <c r="E33" s="408"/>
      <c r="F33" s="437"/>
      <c r="G33" s="7"/>
    </row>
    <row r="34" spans="1:7">
      <c r="A34" s="344" t="s">
        <v>546</v>
      </c>
      <c r="B34" s="513" t="s">
        <v>2</v>
      </c>
      <c r="C34" s="407">
        <v>100</v>
      </c>
      <c r="D34" s="407">
        <f>E31</f>
        <v>1223.3399999999999</v>
      </c>
      <c r="E34" s="408">
        <f>C34*D34/100</f>
        <v>1223.3399999999999</v>
      </c>
      <c r="G34" s="7"/>
    </row>
    <row r="35" spans="1:7" ht="13.8" thickBot="1">
      <c r="A35" s="279" t="s">
        <v>547</v>
      </c>
      <c r="B35" s="280" t="s">
        <v>8</v>
      </c>
      <c r="C35" s="546">
        <f>C32*12</f>
        <v>60</v>
      </c>
      <c r="D35" s="282">
        <f>IF(C33&lt;=C32,E34,0)</f>
        <v>1223.3399999999999</v>
      </c>
      <c r="E35" s="281">
        <f>IFERROR(D35/C35,0)</f>
        <v>20.388999999999999</v>
      </c>
      <c r="G35" s="7"/>
    </row>
    <row r="36" spans="1:7" ht="13.8" hidden="1" thickTop="1">
      <c r="A36" s="308" t="s">
        <v>400</v>
      </c>
      <c r="B36" s="540" t="s">
        <v>10</v>
      </c>
      <c r="C36" s="541"/>
      <c r="D36" s="460">
        <v>40000</v>
      </c>
      <c r="E36" s="404">
        <f>C36*D36</f>
        <v>0</v>
      </c>
      <c r="G36" s="7"/>
    </row>
    <row r="37" spans="1:7" ht="13.8" hidden="1" thickTop="1">
      <c r="A37" s="344" t="s">
        <v>525</v>
      </c>
      <c r="B37" s="513" t="s">
        <v>107</v>
      </c>
      <c r="C37" s="542">
        <v>5</v>
      </c>
      <c r="D37" s="407"/>
      <c r="E37" s="408"/>
      <c r="G37" s="7"/>
    </row>
    <row r="38" spans="1:7" ht="13.8" hidden="1" thickTop="1">
      <c r="A38" s="344" t="s">
        <v>526</v>
      </c>
      <c r="B38" s="513" t="s">
        <v>107</v>
      </c>
      <c r="C38" s="542">
        <v>3</v>
      </c>
      <c r="D38" s="407"/>
      <c r="E38" s="408"/>
      <c r="F38" s="437"/>
      <c r="G38" s="7"/>
    </row>
    <row r="39" spans="1:7" ht="13.8" hidden="1" thickTop="1">
      <c r="A39" s="344" t="s">
        <v>527</v>
      </c>
      <c r="B39" s="513" t="s">
        <v>2</v>
      </c>
      <c r="C39" s="547">
        <f>IFERROR(VLOOKUP(C37,'[1]5. Depreciação'!A80:B94,2,FALSE),0)</f>
        <v>0</v>
      </c>
      <c r="D39" s="407">
        <f>E36</f>
        <v>0</v>
      </c>
      <c r="E39" s="408">
        <f>C39*D39/100</f>
        <v>0</v>
      </c>
      <c r="G39" s="7"/>
    </row>
    <row r="40" spans="1:7" ht="13.8" hidden="1" thickTop="1">
      <c r="A40" s="103" t="s">
        <v>528</v>
      </c>
      <c r="B40" s="104" t="s">
        <v>8</v>
      </c>
      <c r="C40" s="548">
        <f>C37*12</f>
        <v>60</v>
      </c>
      <c r="D40" s="113">
        <f>IF(C38&lt;=C37,E39,0)</f>
        <v>0</v>
      </c>
      <c r="E40" s="105">
        <f>IFERROR(D40/C40,0)</f>
        <v>0</v>
      </c>
      <c r="G40" s="7"/>
    </row>
    <row r="41" spans="1:7" ht="13.8" hidden="1" thickTop="1">
      <c r="A41" s="116" t="s">
        <v>262</v>
      </c>
      <c r="B41" s="117"/>
      <c r="C41" s="543"/>
      <c r="D41" s="544"/>
      <c r="E41" s="119">
        <f>E35+E40</f>
        <v>20.388999999999999</v>
      </c>
      <c r="G41" s="7"/>
    </row>
    <row r="42" spans="1:7" ht="14.4" thickTop="1" thickBot="1">
      <c r="A42" s="103" t="s">
        <v>530</v>
      </c>
      <c r="B42" s="104" t="s">
        <v>10</v>
      </c>
      <c r="C42" s="542">
        <v>60</v>
      </c>
      <c r="D42" s="113">
        <f>E41</f>
        <v>20.388999999999999</v>
      </c>
      <c r="E42" s="119">
        <f>C42*D42</f>
        <v>1223.3399999999999</v>
      </c>
      <c r="G42" s="7"/>
    </row>
    <row r="43" spans="1:7" ht="13.8" thickBot="1">
      <c r="A43" s="275"/>
      <c r="B43" s="275"/>
      <c r="C43" s="275"/>
      <c r="D43" s="413" t="s">
        <v>197</v>
      </c>
      <c r="E43" s="414">
        <f>$B$25</f>
        <v>1</v>
      </c>
      <c r="F43" s="21">
        <f>E42*E43</f>
        <v>1223.3399999999999</v>
      </c>
      <c r="G43" s="7"/>
    </row>
    <row r="44" spans="1:7">
      <c r="G44" s="7"/>
    </row>
    <row r="45" spans="1:7" ht="13.8" thickBot="1">
      <c r="A45" s="107" t="s">
        <v>531</v>
      </c>
      <c r="G45" s="7"/>
    </row>
    <row r="46" spans="1:7" ht="13.8" thickBot="1">
      <c r="A46" s="109" t="s">
        <v>64</v>
      </c>
      <c r="B46" s="110" t="s">
        <v>65</v>
      </c>
      <c r="C46" s="110" t="s">
        <v>42</v>
      </c>
      <c r="D46" s="62" t="s">
        <v>237</v>
      </c>
      <c r="E46" s="111" t="s">
        <v>66</v>
      </c>
      <c r="F46" s="63" t="s">
        <v>67</v>
      </c>
      <c r="G46" s="7"/>
    </row>
    <row r="47" spans="1:7">
      <c r="A47" s="344" t="s">
        <v>548</v>
      </c>
      <c r="B47" s="513" t="s">
        <v>10</v>
      </c>
      <c r="C47" s="541">
        <v>1</v>
      </c>
      <c r="D47" s="408">
        <f>D31</f>
        <v>1223.3399999999999</v>
      </c>
      <c r="E47" s="408">
        <f>C47*D47</f>
        <v>1223.3399999999999</v>
      </c>
      <c r="F47" s="437"/>
      <c r="G47" s="7"/>
    </row>
    <row r="48" spans="1:7">
      <c r="A48" s="344" t="s">
        <v>218</v>
      </c>
      <c r="B48" s="513" t="s">
        <v>2</v>
      </c>
      <c r="C48" s="542">
        <v>2</v>
      </c>
      <c r="D48" s="408"/>
      <c r="E48" s="408"/>
      <c r="F48" s="437"/>
      <c r="G48" s="7"/>
    </row>
    <row r="49" spans="1:7">
      <c r="A49" s="344" t="s">
        <v>532</v>
      </c>
      <c r="B49" s="513" t="s">
        <v>35</v>
      </c>
      <c r="C49" s="549">
        <f>IFERROR(IF(C33&lt;=C32,E31-(C34/(100*C32)*C33)*E31,E31-E34),0)</f>
        <v>1223.3399999999999</v>
      </c>
      <c r="D49" s="408"/>
      <c r="E49" s="408"/>
      <c r="F49" s="437"/>
      <c r="G49" s="7"/>
    </row>
    <row r="50" spans="1:7">
      <c r="A50" s="344" t="s">
        <v>549</v>
      </c>
      <c r="B50" s="513" t="s">
        <v>35</v>
      </c>
      <c r="C50" s="407">
        <f>D47</f>
        <v>1223.3399999999999</v>
      </c>
      <c r="D50" s="408"/>
      <c r="E50" s="408"/>
      <c r="F50" s="437"/>
      <c r="G50" s="7"/>
    </row>
    <row r="51" spans="1:7" ht="13.8" thickBot="1">
      <c r="A51" s="279" t="s">
        <v>550</v>
      </c>
      <c r="B51" s="280" t="s">
        <v>35</v>
      </c>
      <c r="C51" s="280"/>
      <c r="D51" s="282">
        <f>C48*C50/12/100</f>
        <v>2.0388999999999999</v>
      </c>
      <c r="E51" s="281">
        <f>D51</f>
        <v>2.0388999999999999</v>
      </c>
      <c r="F51" s="437"/>
      <c r="G51" s="7"/>
    </row>
    <row r="52" spans="1:7" ht="13.8" hidden="1" thickTop="1">
      <c r="A52" s="308" t="s">
        <v>113</v>
      </c>
      <c r="B52" s="540" t="s">
        <v>10</v>
      </c>
      <c r="C52" s="540"/>
      <c r="D52" s="404"/>
      <c r="E52" s="404">
        <f>C52*D52</f>
        <v>0</v>
      </c>
      <c r="F52" s="437"/>
      <c r="G52" s="7"/>
    </row>
    <row r="53" spans="1:7" ht="13.8" hidden="1" thickTop="1">
      <c r="A53" s="344" t="s">
        <v>218</v>
      </c>
      <c r="B53" s="513" t="s">
        <v>2</v>
      </c>
      <c r="C53" s="542"/>
      <c r="D53" s="408"/>
      <c r="E53" s="408"/>
      <c r="F53" s="437"/>
      <c r="G53" s="7"/>
    </row>
    <row r="54" spans="1:7" ht="13.8" hidden="1" thickTop="1">
      <c r="A54" s="344" t="s">
        <v>217</v>
      </c>
      <c r="B54" s="513" t="s">
        <v>35</v>
      </c>
      <c r="C54" s="549">
        <f>IFERROR(IF(C38&lt;=C37,E36-(C39/(100*C37)*C38)*E36,E36-E39),0)</f>
        <v>0</v>
      </c>
      <c r="D54" s="408"/>
      <c r="E54" s="408"/>
      <c r="F54" s="437"/>
      <c r="G54" s="7"/>
    </row>
    <row r="55" spans="1:7" ht="13.8" hidden="1" thickTop="1">
      <c r="A55" s="344" t="s">
        <v>119</v>
      </c>
      <c r="B55" s="513" t="s">
        <v>35</v>
      </c>
      <c r="C55" s="407">
        <f>IFERROR(IF(C38&gt;=C37,C54,((((C54)-(E36-E39))*(((C37-C38)+1)/(2*(C37-C38))))+(E36-E39))),0)</f>
        <v>0</v>
      </c>
      <c r="D55" s="408"/>
      <c r="E55" s="408"/>
      <c r="F55" s="437"/>
      <c r="G55" s="7"/>
    </row>
    <row r="56" spans="1:7" ht="13.8" hidden="1" thickTop="1">
      <c r="A56" s="103" t="s">
        <v>116</v>
      </c>
      <c r="B56" s="104" t="s">
        <v>35</v>
      </c>
      <c r="C56" s="104"/>
      <c r="D56" s="113">
        <f>C53*C55/12/100</f>
        <v>0</v>
      </c>
      <c r="E56" s="105">
        <f>D56</f>
        <v>0</v>
      </c>
      <c r="F56" s="437"/>
      <c r="G56" s="7"/>
    </row>
    <row r="57" spans="1:7" ht="13.8" hidden="1" thickTop="1">
      <c r="A57" s="116" t="s">
        <v>262</v>
      </c>
      <c r="B57" s="117"/>
      <c r="C57" s="117"/>
      <c r="D57" s="118"/>
      <c r="E57" s="119">
        <f>E51+E56</f>
        <v>2.0388999999999999</v>
      </c>
      <c r="F57" s="437"/>
      <c r="G57" s="7"/>
    </row>
    <row r="58" spans="1:7" ht="14.4" thickTop="1" thickBot="1">
      <c r="A58" s="103" t="s">
        <v>530</v>
      </c>
      <c r="B58" s="104" t="s">
        <v>10</v>
      </c>
      <c r="C58" s="542">
        <f>C42</f>
        <v>60</v>
      </c>
      <c r="D58" s="105">
        <f>E57</f>
        <v>2.0388999999999999</v>
      </c>
      <c r="E58" s="119">
        <f>C58*D58</f>
        <v>122.334</v>
      </c>
      <c r="F58" s="437"/>
      <c r="G58" s="7"/>
    </row>
    <row r="59" spans="1:7" ht="13.8" thickBot="1">
      <c r="C59" s="550"/>
      <c r="D59" s="413" t="s">
        <v>197</v>
      </c>
      <c r="E59" s="414">
        <f>$B$25</f>
        <v>1</v>
      </c>
      <c r="F59" s="21">
        <f>E58*E59</f>
        <v>122.334</v>
      </c>
      <c r="G59" s="7"/>
    </row>
    <row r="60" spans="1:7">
      <c r="G60" s="7"/>
    </row>
    <row r="61" spans="1:7" hidden="1">
      <c r="A61" s="7" t="s">
        <v>53</v>
      </c>
      <c r="G61" s="7"/>
    </row>
    <row r="62" spans="1:7" ht="13.8" hidden="1" thickBot="1">
      <c r="A62" s="60" t="s">
        <v>64</v>
      </c>
      <c r="B62" s="61" t="s">
        <v>65</v>
      </c>
      <c r="C62" s="61" t="s">
        <v>42</v>
      </c>
      <c r="D62" s="62" t="s">
        <v>237</v>
      </c>
      <c r="E62" s="62" t="s">
        <v>66</v>
      </c>
      <c r="F62" s="63" t="s">
        <v>67</v>
      </c>
      <c r="G62" s="7"/>
    </row>
    <row r="63" spans="1:7" hidden="1">
      <c r="A63" s="308" t="s">
        <v>12</v>
      </c>
      <c r="B63" s="540" t="s">
        <v>10</v>
      </c>
      <c r="C63" s="404"/>
      <c r="D63" s="404" t="e">
        <f>0.01*(#REF!)</f>
        <v>#REF!</v>
      </c>
      <c r="E63" s="404" t="e">
        <f>C63*D63</f>
        <v>#REF!</v>
      </c>
      <c r="G63" s="7"/>
    </row>
    <row r="64" spans="1:7" hidden="1">
      <c r="A64" s="344" t="s">
        <v>196</v>
      </c>
      <c r="B64" s="513" t="s">
        <v>10</v>
      </c>
      <c r="C64" s="404"/>
      <c r="D64" s="449">
        <v>150</v>
      </c>
      <c r="E64" s="408">
        <f>C64*D64</f>
        <v>0</v>
      </c>
      <c r="G64" s="7"/>
    </row>
    <row r="65" spans="1:7" hidden="1">
      <c r="A65" s="344" t="s">
        <v>13</v>
      </c>
      <c r="B65" s="513" t="s">
        <v>10</v>
      </c>
      <c r="C65" s="404"/>
      <c r="D65" s="449">
        <v>2200</v>
      </c>
      <c r="E65" s="408">
        <f>C65*D65</f>
        <v>0</v>
      </c>
      <c r="F65" s="31"/>
      <c r="G65" s="7"/>
    </row>
    <row r="66" spans="1:7" hidden="1">
      <c r="A66" s="103" t="s">
        <v>14</v>
      </c>
      <c r="B66" s="104" t="s">
        <v>8</v>
      </c>
      <c r="C66" s="104">
        <v>12</v>
      </c>
      <c r="D66" s="105" t="e">
        <f>SUM(E63:E65)</f>
        <v>#REF!</v>
      </c>
      <c r="E66" s="105" t="e">
        <f>D66/C66</f>
        <v>#REF!</v>
      </c>
      <c r="G66" s="7"/>
    </row>
    <row r="67" spans="1:7" ht="13.8" hidden="1" thickBot="1">
      <c r="D67" s="413" t="s">
        <v>197</v>
      </c>
      <c r="E67" s="414">
        <f>$B$25</f>
        <v>1</v>
      </c>
      <c r="F67" s="124" t="e">
        <f>E66*E67</f>
        <v>#REF!</v>
      </c>
      <c r="G67" s="7"/>
    </row>
    <row r="68" spans="1:7" hidden="1">
      <c r="G68" s="7"/>
    </row>
    <row r="69" spans="1:7" hidden="1">
      <c r="A69" s="7" t="s">
        <v>54</v>
      </c>
      <c r="B69" s="551"/>
      <c r="G69" s="7"/>
    </row>
    <row r="70" spans="1:7" hidden="1">
      <c r="B70" s="551"/>
      <c r="G70" s="7"/>
    </row>
    <row r="71" spans="1:7" hidden="1">
      <c r="A71" s="103" t="s">
        <v>121</v>
      </c>
      <c r="B71" s="552"/>
      <c r="G71" s="7"/>
    </row>
    <row r="72" spans="1:7" hidden="1">
      <c r="B72" s="551"/>
      <c r="G72" s="7"/>
    </row>
    <row r="73" spans="1:7" ht="13.8" hidden="1" thickBot="1">
      <c r="A73" s="60" t="s">
        <v>64</v>
      </c>
      <c r="B73" s="61" t="s">
        <v>65</v>
      </c>
      <c r="C73" s="61" t="s">
        <v>261</v>
      </c>
      <c r="D73" s="62" t="s">
        <v>237</v>
      </c>
      <c r="E73" s="62" t="s">
        <v>66</v>
      </c>
      <c r="F73" s="63" t="s">
        <v>67</v>
      </c>
      <c r="G73" s="7"/>
    </row>
    <row r="74" spans="1:7" hidden="1">
      <c r="A74" s="308" t="s">
        <v>15</v>
      </c>
      <c r="B74" s="540" t="s">
        <v>16</v>
      </c>
      <c r="C74" s="553">
        <v>2.2000000000000002</v>
      </c>
      <c r="D74" s="453">
        <v>3.71</v>
      </c>
      <c r="E74" s="404"/>
      <c r="G74" s="7"/>
    </row>
    <row r="75" spans="1:7" hidden="1">
      <c r="A75" s="344" t="s">
        <v>17</v>
      </c>
      <c r="B75" s="513" t="s">
        <v>18</v>
      </c>
      <c r="C75" s="422">
        <f>B71</f>
        <v>0</v>
      </c>
      <c r="D75" s="454">
        <f>IFERROR(+D74/C74,"-")</f>
        <v>1.6863636363636363</v>
      </c>
      <c r="E75" s="408">
        <f>IFERROR(C75*D75,"-")</f>
        <v>0</v>
      </c>
      <c r="G75" s="7"/>
    </row>
    <row r="76" spans="1:7" hidden="1">
      <c r="A76" s="344" t="s">
        <v>238</v>
      </c>
      <c r="B76" s="513" t="s">
        <v>19</v>
      </c>
      <c r="C76" s="533">
        <v>6</v>
      </c>
      <c r="D76" s="449">
        <v>13</v>
      </c>
      <c r="E76" s="408"/>
      <c r="G76" s="7"/>
    </row>
    <row r="77" spans="1:7" hidden="1">
      <c r="A77" s="344" t="s">
        <v>20</v>
      </c>
      <c r="B77" s="513" t="s">
        <v>18</v>
      </c>
      <c r="C77" s="422">
        <f>C75</f>
        <v>0</v>
      </c>
      <c r="D77" s="458">
        <f>+C76*D76/1000</f>
        <v>7.8E-2</v>
      </c>
      <c r="E77" s="408">
        <f>C77*D77</f>
        <v>0</v>
      </c>
      <c r="G77" s="7"/>
    </row>
    <row r="78" spans="1:7" hidden="1">
      <c r="A78" s="344" t="s">
        <v>239</v>
      </c>
      <c r="B78" s="513" t="s">
        <v>19</v>
      </c>
      <c r="C78" s="533">
        <v>0.85</v>
      </c>
      <c r="D78" s="449">
        <v>15.8</v>
      </c>
      <c r="E78" s="408"/>
      <c r="G78" s="7"/>
    </row>
    <row r="79" spans="1:7" hidden="1">
      <c r="A79" s="344" t="s">
        <v>21</v>
      </c>
      <c r="B79" s="513" t="s">
        <v>18</v>
      </c>
      <c r="C79" s="422">
        <f>C75</f>
        <v>0</v>
      </c>
      <c r="D79" s="458">
        <f>+C78*D78/1000</f>
        <v>1.3429999999999999E-2</v>
      </c>
      <c r="E79" s="408">
        <f>C79*D79</f>
        <v>0</v>
      </c>
      <c r="G79" s="7"/>
    </row>
    <row r="80" spans="1:7" hidden="1">
      <c r="A80" s="344" t="s">
        <v>240</v>
      </c>
      <c r="B80" s="513" t="s">
        <v>19</v>
      </c>
      <c r="C80" s="533">
        <v>16</v>
      </c>
      <c r="D80" s="449">
        <v>8.25</v>
      </c>
      <c r="E80" s="408"/>
      <c r="G80" s="7"/>
    </row>
    <row r="81" spans="1:10" hidden="1">
      <c r="A81" s="344" t="s">
        <v>22</v>
      </c>
      <c r="B81" s="513" t="s">
        <v>18</v>
      </c>
      <c r="C81" s="422">
        <f>C75</f>
        <v>0</v>
      </c>
      <c r="D81" s="458">
        <f>+C80*D80/1000</f>
        <v>0.13200000000000001</v>
      </c>
      <c r="E81" s="408">
        <f>C81*D81</f>
        <v>0</v>
      </c>
      <c r="G81" s="7"/>
    </row>
    <row r="82" spans="1:10" hidden="1">
      <c r="A82" s="344" t="s">
        <v>23</v>
      </c>
      <c r="B82" s="513" t="s">
        <v>24</v>
      </c>
      <c r="C82" s="533">
        <v>2</v>
      </c>
      <c r="D82" s="449">
        <v>5.4</v>
      </c>
      <c r="E82" s="408"/>
      <c r="G82" s="7"/>
    </row>
    <row r="83" spans="1:10" hidden="1">
      <c r="A83" s="344" t="s">
        <v>25</v>
      </c>
      <c r="B83" s="513" t="s">
        <v>18</v>
      </c>
      <c r="C83" s="422">
        <f>C75</f>
        <v>0</v>
      </c>
      <c r="D83" s="458">
        <f>+C82*D82/1000</f>
        <v>1.0800000000000001E-2</v>
      </c>
      <c r="E83" s="408">
        <f>C83*D83</f>
        <v>0</v>
      </c>
      <c r="G83" s="7"/>
    </row>
    <row r="84" spans="1:10" hidden="1">
      <c r="A84" s="103" t="s">
        <v>260</v>
      </c>
      <c r="B84" s="104" t="s">
        <v>122</v>
      </c>
      <c r="C84" s="272"/>
      <c r="D84" s="273">
        <f>IFERROR(D75+D77+D79+D81+D83,0)</f>
        <v>1.9205936363636364</v>
      </c>
      <c r="E84" s="408"/>
      <c r="G84" s="7"/>
    </row>
    <row r="85" spans="1:10" ht="13.8" hidden="1" thickBot="1">
      <c r="F85" s="21">
        <f>SUM(E74:E83)</f>
        <v>0</v>
      </c>
      <c r="G85" s="7"/>
    </row>
    <row r="86" spans="1:10" hidden="1">
      <c r="G86" s="7"/>
    </row>
    <row r="87" spans="1:10" ht="13.8" thickBot="1">
      <c r="A87" s="7" t="s">
        <v>542</v>
      </c>
      <c r="G87" s="7"/>
    </row>
    <row r="88" spans="1:10" ht="13.8" thickBot="1">
      <c r="A88" s="60" t="s">
        <v>64</v>
      </c>
      <c r="B88" s="61" t="s">
        <v>65</v>
      </c>
      <c r="C88" s="61" t="s">
        <v>42</v>
      </c>
      <c r="D88" s="62" t="s">
        <v>237</v>
      </c>
      <c r="E88" s="62" t="s">
        <v>66</v>
      </c>
      <c r="F88" s="63" t="s">
        <v>67</v>
      </c>
      <c r="G88" s="7"/>
    </row>
    <row r="89" spans="1:10">
      <c r="A89" s="308" t="s">
        <v>533</v>
      </c>
      <c r="B89" s="540" t="s">
        <v>65</v>
      </c>
      <c r="C89" s="542">
        <f>C58</f>
        <v>60</v>
      </c>
      <c r="D89" s="460">
        <v>35</v>
      </c>
      <c r="E89" s="404">
        <f>C89*D89</f>
        <v>2100</v>
      </c>
      <c r="G89" s="7"/>
    </row>
    <row r="90" spans="1:10">
      <c r="A90" s="308" t="s">
        <v>543</v>
      </c>
      <c r="B90" s="540" t="s">
        <v>2</v>
      </c>
      <c r="C90" s="542">
        <v>33.33</v>
      </c>
      <c r="D90" s="460">
        <f>E89</f>
        <v>2100</v>
      </c>
      <c r="E90" s="404">
        <f>D90*C90/100</f>
        <v>699.93</v>
      </c>
      <c r="G90" s="7"/>
    </row>
    <row r="91" spans="1:10">
      <c r="A91" s="308" t="s">
        <v>551</v>
      </c>
      <c r="B91" s="540" t="s">
        <v>65</v>
      </c>
      <c r="C91" s="542">
        <v>60</v>
      </c>
      <c r="D91" s="460">
        <v>40</v>
      </c>
      <c r="E91" s="404">
        <f>D91*C91</f>
        <v>2400</v>
      </c>
      <c r="G91" s="7"/>
    </row>
    <row r="92" spans="1:10" ht="13.8" thickBot="1">
      <c r="A92" s="308" t="s">
        <v>534</v>
      </c>
      <c r="B92" s="540" t="s">
        <v>8</v>
      </c>
      <c r="C92" s="542">
        <v>1</v>
      </c>
      <c r="D92" s="460">
        <f>E91</f>
        <v>2400</v>
      </c>
      <c r="E92" s="404">
        <f>C92*D92</f>
        <v>2400</v>
      </c>
      <c r="G92" s="7"/>
    </row>
    <row r="93" spans="1:10" ht="13.8" thickBot="1">
      <c r="F93" s="21">
        <f>SUM(E90+E92)</f>
        <v>3099.93</v>
      </c>
      <c r="G93" s="7"/>
    </row>
    <row r="94" spans="1:10" s="361" customFormat="1" ht="11.25" customHeight="1" thickBot="1">
      <c r="A94" s="7"/>
      <c r="B94" s="7"/>
      <c r="C94" s="7"/>
      <c r="H94" s="7"/>
      <c r="I94" s="7"/>
      <c r="J94" s="7"/>
    </row>
    <row r="95" spans="1:10" s="361" customFormat="1" ht="17.25" customHeight="1" thickBot="1">
      <c r="A95" s="24" t="s">
        <v>232</v>
      </c>
      <c r="B95" s="545"/>
      <c r="C95" s="545"/>
      <c r="D95" s="434"/>
      <c r="E95" s="435"/>
      <c r="F95" s="22">
        <f>F43+F59+F93</f>
        <v>4445.6039999999994</v>
      </c>
      <c r="H95" s="7"/>
      <c r="I95" s="7"/>
      <c r="J95" s="7"/>
    </row>
    <row r="96" spans="1:10" s="361" customFormat="1" ht="11.25" customHeight="1">
      <c r="A96" s="7"/>
      <c r="B96" s="7"/>
      <c r="C96" s="7"/>
      <c r="H96" s="7"/>
      <c r="I96" s="7"/>
      <c r="J96" s="7"/>
    </row>
    <row r="97" spans="1:10" s="361" customFormat="1">
      <c r="A97" s="11" t="s">
        <v>495</v>
      </c>
      <c r="B97" s="7"/>
      <c r="C97" s="7"/>
      <c r="H97" s="7"/>
      <c r="I97" s="7"/>
      <c r="J97" s="7"/>
    </row>
    <row r="98" spans="1:10" s="361" customFormat="1" ht="11.25" customHeight="1" thickBot="1">
      <c r="A98" s="7"/>
      <c r="B98" s="7"/>
      <c r="C98" s="7"/>
      <c r="H98" s="7"/>
      <c r="I98" s="7"/>
      <c r="J98" s="7"/>
    </row>
    <row r="99" spans="1:10" s="361" customFormat="1" ht="13.8" thickBot="1">
      <c r="A99" s="60" t="s">
        <v>64</v>
      </c>
      <c r="B99" s="61" t="s">
        <v>65</v>
      </c>
      <c r="C99" s="61" t="s">
        <v>42</v>
      </c>
      <c r="D99" s="62" t="s">
        <v>237</v>
      </c>
      <c r="E99" s="62" t="s">
        <v>66</v>
      </c>
      <c r="F99" s="63" t="s">
        <v>67</v>
      </c>
      <c r="H99" s="7"/>
      <c r="I99" s="7"/>
      <c r="J99" s="7"/>
    </row>
    <row r="100" spans="1:10" s="361" customFormat="1" ht="13.8" thickBot="1">
      <c r="A100" s="308" t="s">
        <v>38</v>
      </c>
      <c r="B100" s="540" t="s">
        <v>2</v>
      </c>
      <c r="C100" s="411">
        <f>'7.BDI'!C21*100</f>
        <v>24.84</v>
      </c>
      <c r="D100" s="404">
        <f>+F95</f>
        <v>4445.6039999999994</v>
      </c>
      <c r="E100" s="404">
        <f>C100*D100/100</f>
        <v>1104.2880335999998</v>
      </c>
      <c r="H100" s="7"/>
      <c r="I100" s="7"/>
      <c r="J100" s="7"/>
    </row>
    <row r="101" spans="1:10" s="361" customFormat="1" ht="13.8" thickBot="1">
      <c r="A101" s="7"/>
      <c r="B101" s="7"/>
      <c r="C101" s="7"/>
      <c r="F101" s="21">
        <f>+E100</f>
        <v>1104.2880335999998</v>
      </c>
      <c r="H101" s="7"/>
      <c r="I101" s="7"/>
      <c r="J101" s="7"/>
    </row>
    <row r="102" spans="1:10" s="361" customFormat="1" ht="11.25" customHeight="1" thickBot="1">
      <c r="A102" s="7"/>
      <c r="B102" s="7"/>
      <c r="C102" s="7"/>
      <c r="H102" s="7"/>
      <c r="I102" s="7"/>
      <c r="J102" s="7"/>
    </row>
    <row r="103" spans="1:10" s="361" customFormat="1" ht="13.8" thickBot="1">
      <c r="A103" s="24" t="s">
        <v>242</v>
      </c>
      <c r="B103" s="545"/>
      <c r="C103" s="545"/>
      <c r="D103" s="434"/>
      <c r="E103" s="435"/>
      <c r="F103" s="22">
        <f>F101</f>
        <v>1104.2880335999998</v>
      </c>
      <c r="H103" s="7"/>
      <c r="I103" s="7"/>
      <c r="J103" s="7"/>
    </row>
    <row r="104" spans="1:10" s="361" customFormat="1" ht="13.8" thickBot="1">
      <c r="A104" s="34"/>
      <c r="B104" s="34"/>
      <c r="C104" s="34"/>
      <c r="D104" s="35"/>
      <c r="E104" s="35"/>
      <c r="F104" s="33"/>
      <c r="H104" s="7"/>
      <c r="I104" s="7"/>
      <c r="J104" s="7"/>
    </row>
    <row r="105" spans="1:10" s="361" customFormat="1" ht="11.25" hidden="1" customHeight="1" thickBot="1">
      <c r="A105" s="7"/>
      <c r="B105" s="7"/>
      <c r="C105" s="7"/>
      <c r="H105" s="7"/>
      <c r="I105" s="7"/>
      <c r="J105" s="7"/>
    </row>
    <row r="106" spans="1:10" s="361" customFormat="1" ht="24.75" customHeight="1" thickBot="1">
      <c r="A106" s="24" t="s">
        <v>233</v>
      </c>
      <c r="B106" s="545"/>
      <c r="C106" s="545"/>
      <c r="D106" s="434"/>
      <c r="E106" s="435"/>
      <c r="F106" s="22">
        <f>F95+F103</f>
        <v>5549.8920335999992</v>
      </c>
      <c r="H106" s="7"/>
      <c r="I106" s="7"/>
      <c r="J106" s="7"/>
    </row>
    <row r="107" spans="1:10" s="361" customFormat="1" ht="12.6" customHeight="1">
      <c r="A107" s="558"/>
      <c r="B107" s="558"/>
      <c r="C107" s="558"/>
      <c r="D107" s="559"/>
      <c r="E107" s="559"/>
      <c r="F107" s="559"/>
      <c r="H107" s="7"/>
      <c r="I107" s="7"/>
      <c r="J107" s="7"/>
    </row>
    <row r="108" spans="1:10" s="361" customFormat="1" ht="13.8" hidden="1">
      <c r="A108" s="560"/>
      <c r="B108" s="560"/>
      <c r="C108" s="560"/>
      <c r="D108" s="561"/>
      <c r="E108" s="561"/>
      <c r="F108" s="562"/>
      <c r="H108" s="7"/>
      <c r="I108" s="7"/>
      <c r="J108" s="7"/>
    </row>
    <row r="109" spans="1:10" ht="16.2" hidden="1" customHeight="1">
      <c r="A109" s="563" t="s">
        <v>552</v>
      </c>
      <c r="B109" s="564"/>
      <c r="C109" s="564"/>
      <c r="D109" s="565">
        <v>60</v>
      </c>
      <c r="E109" s="566" t="s">
        <v>535</v>
      </c>
      <c r="F109" s="562"/>
      <c r="G109" s="361" t="s">
        <v>207</v>
      </c>
    </row>
    <row r="110" spans="1:10" ht="13.8" hidden="1" thickBot="1">
      <c r="A110" s="536"/>
      <c r="B110" s="536"/>
      <c r="C110" s="536"/>
      <c r="D110" s="562"/>
      <c r="E110" s="562"/>
      <c r="F110" s="562"/>
    </row>
    <row r="111" spans="1:10" ht="25.5" hidden="1" customHeight="1" thickBot="1">
      <c r="A111" s="567" t="s">
        <v>536</v>
      </c>
      <c r="B111" s="556"/>
      <c r="C111" s="556"/>
      <c r="D111" s="557"/>
      <c r="E111" s="568" t="s">
        <v>537</v>
      </c>
      <c r="F111" s="569">
        <f>IFERROR(F106/D109,"-")</f>
        <v>92.498200559999987</v>
      </c>
      <c r="G111" s="361" t="s">
        <v>207</v>
      </c>
    </row>
    <row r="112" spans="1:10" ht="12.6" hidden="1" customHeight="1">
      <c r="A112" s="554"/>
      <c r="B112" s="554"/>
      <c r="C112" s="554"/>
      <c r="D112" s="555"/>
      <c r="E112" s="555"/>
      <c r="F112" s="555"/>
    </row>
    <row r="113" spans="1:6" hidden="1">
      <c r="A113" s="570"/>
      <c r="B113" s="536"/>
      <c r="C113" s="536"/>
      <c r="D113" s="562"/>
      <c r="E113" s="562"/>
      <c r="F113" s="562"/>
    </row>
    <row r="114" spans="1:6" ht="15">
      <c r="A114" s="571"/>
      <c r="B114" s="536"/>
      <c r="C114" s="536"/>
      <c r="D114" s="562"/>
      <c r="E114" s="562"/>
      <c r="F114" s="562"/>
    </row>
    <row r="115" spans="1:6" ht="14.4">
      <c r="A115" s="639"/>
      <c r="B115" s="639"/>
      <c r="C115" s="639"/>
      <c r="D115" s="639"/>
      <c r="E115" s="639"/>
      <c r="F115" s="639"/>
    </row>
    <row r="116" spans="1:6" ht="14.4">
      <c r="A116" s="572"/>
      <c r="B116" s="640"/>
      <c r="C116" s="640"/>
      <c r="D116" s="640"/>
      <c r="E116" s="573"/>
      <c r="F116" s="573"/>
    </row>
    <row r="117" spans="1:6" ht="14.4">
      <c r="A117" s="572"/>
      <c r="B117" s="641"/>
      <c r="C117" s="641"/>
      <c r="D117" s="641"/>
      <c r="E117" s="562"/>
      <c r="F117" s="562"/>
    </row>
    <row r="118" spans="1:6">
      <c r="A118" s="574"/>
      <c r="B118" s="536"/>
      <c r="C118" s="536"/>
      <c r="D118" s="562"/>
      <c r="E118" s="562"/>
      <c r="F118" s="562"/>
    </row>
    <row r="140" spans="4:7" ht="9" customHeight="1">
      <c r="D140" s="7"/>
      <c r="E140" s="7"/>
      <c r="F140" s="7"/>
      <c r="G140" s="7"/>
    </row>
  </sheetData>
  <mergeCells count="7">
    <mergeCell ref="A21:D21"/>
    <mergeCell ref="A115:F115"/>
    <mergeCell ref="B116:D116"/>
    <mergeCell ref="B117:D117"/>
    <mergeCell ref="A8:F8"/>
    <mergeCell ref="A9:F9"/>
    <mergeCell ref="A11:F11"/>
  </mergeCells>
  <hyperlinks>
    <hyperlink ref="A45" location="AbaRemun" display="3.1.2. Remuneração do Capital"/>
    <hyperlink ref="A29" location="AbaDeprec" display="3.1.1. Depreciação"/>
  </hyperlinks>
  <pageMargins left="0.9055118110236221" right="0.51181102362204722" top="0.43" bottom="0.63" header="0.31496062992125984" footer="0.31496062992125984"/>
  <pageSetup paperSize="9" scale="77" fitToHeight="0" orientation="portrait" verticalDpi="300" r:id="rId1"/>
  <headerFooter alignWithMargins="0">
    <oddFooter>&amp;R&amp;P de &amp;N</oddFooter>
  </headerFooter>
  <rowBreaks count="1" manualBreakCount="1">
    <brk id="114" max="5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84"/>
  <sheetViews>
    <sheetView topLeftCell="A222" zoomScaleSheetLayoutView="100" workbookViewId="0"/>
  </sheetViews>
  <sheetFormatPr defaultColWidth="9.109375" defaultRowHeight="13.2"/>
  <cols>
    <col min="1" max="1" width="44.5546875" style="360" customWidth="1"/>
    <col min="2" max="2" width="16" style="360" bestFit="1" customWidth="1"/>
    <col min="3" max="3" width="11.88671875" style="360" customWidth="1"/>
    <col min="4" max="4" width="14.6640625" style="361" customWidth="1"/>
    <col min="5" max="5" width="15.44140625" style="361" customWidth="1"/>
    <col min="6" max="6" width="12.44140625" style="361" customWidth="1"/>
    <col min="7" max="7" width="28.109375" style="361" customWidth="1"/>
    <col min="8" max="8" width="9.109375" style="360"/>
    <col min="9" max="9" width="14.5546875" style="360" customWidth="1"/>
    <col min="10" max="10" width="13.44140625" style="360" customWidth="1"/>
    <col min="11" max="16384" width="9.109375" style="360"/>
  </cols>
  <sheetData>
    <row r="1" spans="1:7">
      <c r="A1" s="359" t="s">
        <v>205</v>
      </c>
    </row>
    <row r="2" spans="1:7">
      <c r="A2" s="362" t="s">
        <v>405</v>
      </c>
    </row>
    <row r="3" spans="1:7">
      <c r="A3" s="360" t="s">
        <v>206</v>
      </c>
    </row>
    <row r="4" spans="1:7">
      <c r="A4" s="362" t="s">
        <v>406</v>
      </c>
    </row>
    <row r="5" spans="1:7" s="364" customFormat="1" ht="16.5" customHeight="1" thickBot="1">
      <c r="A5" s="359" t="s">
        <v>494</v>
      </c>
      <c r="B5" s="363"/>
      <c r="C5" s="363"/>
      <c r="D5" s="6"/>
      <c r="E5" s="6"/>
      <c r="F5" s="6"/>
      <c r="G5" s="6"/>
    </row>
    <row r="6" spans="1:7" s="365" customFormat="1" ht="17.399999999999999">
      <c r="A6" s="644" t="s">
        <v>422</v>
      </c>
      <c r="B6" s="645"/>
      <c r="C6" s="645"/>
      <c r="D6" s="645"/>
      <c r="E6" s="645"/>
      <c r="F6" s="646"/>
      <c r="G6" s="36"/>
    </row>
    <row r="7" spans="1:7" s="365" customFormat="1" ht="21.75" customHeight="1">
      <c r="A7" s="647" t="s">
        <v>45</v>
      </c>
      <c r="B7" s="648"/>
      <c r="C7" s="648"/>
      <c r="D7" s="648"/>
      <c r="E7" s="648"/>
      <c r="F7" s="649"/>
      <c r="G7" s="36"/>
    </row>
    <row r="8" spans="1:7" s="364" customFormat="1" ht="10.95" customHeight="1" thickBot="1">
      <c r="A8" s="366"/>
      <c r="B8" s="367"/>
      <c r="C8" s="367"/>
      <c r="D8" s="153"/>
      <c r="E8" s="153"/>
      <c r="F8" s="154"/>
      <c r="G8" s="6"/>
    </row>
    <row r="9" spans="1:7" s="364" customFormat="1" ht="15.75" customHeight="1" thickBot="1">
      <c r="A9" s="633" t="s">
        <v>204</v>
      </c>
      <c r="B9" s="634"/>
      <c r="C9" s="634"/>
      <c r="D9" s="634"/>
      <c r="E9" s="634"/>
      <c r="F9" s="635"/>
      <c r="G9" s="6"/>
    </row>
    <row r="10" spans="1:7" s="364" customFormat="1" ht="15.75" customHeight="1">
      <c r="A10" s="64" t="s">
        <v>203</v>
      </c>
      <c r="B10" s="40"/>
      <c r="C10" s="40"/>
      <c r="D10" s="261"/>
      <c r="E10" s="115" t="s">
        <v>40</v>
      </c>
      <c r="F10" s="41" t="s">
        <v>2</v>
      </c>
      <c r="G10" s="6"/>
    </row>
    <row r="11" spans="1:7" s="359" customFormat="1" ht="15.75" hidden="1" customHeight="1">
      <c r="A11" s="125" t="str">
        <f>A48</f>
        <v>1. Mão-de-obra</v>
      </c>
      <c r="B11" s="368"/>
      <c r="C11" s="127"/>
      <c r="D11" s="127"/>
      <c r="E11" s="369">
        <f>+F111</f>
        <v>0</v>
      </c>
      <c r="F11" s="128">
        <f>IFERROR(E11/$E$31,0)</f>
        <v>0</v>
      </c>
      <c r="G11" s="44"/>
    </row>
    <row r="12" spans="1:7" s="364" customFormat="1" ht="15.75" hidden="1" customHeight="1">
      <c r="A12" s="49" t="str">
        <f>A49</f>
        <v>1.1. Coletor Turno Dia</v>
      </c>
      <c r="B12" s="370"/>
      <c r="C12" s="47"/>
      <c r="D12" s="47"/>
      <c r="E12" s="371">
        <f>F57</f>
        <v>0</v>
      </c>
      <c r="F12" s="58">
        <f>IFERROR(E12/$E$31,0)</f>
        <v>0</v>
      </c>
      <c r="G12" s="6"/>
    </row>
    <row r="13" spans="1:7" s="364" customFormat="1" ht="15.75" hidden="1" customHeight="1">
      <c r="A13" s="49" t="str">
        <f>A59</f>
        <v>1.2. Coletor Turno Noite</v>
      </c>
      <c r="B13" s="370"/>
      <c r="C13" s="47"/>
      <c r="D13" s="47"/>
      <c r="E13" s="371">
        <f>F69</f>
        <v>0</v>
      </c>
      <c r="F13" s="58">
        <f t="shared" ref="F13:F30" si="0">IFERROR(E13/$E$31,0)</f>
        <v>0</v>
      </c>
      <c r="G13" s="6"/>
    </row>
    <row r="14" spans="1:7" s="364" customFormat="1" ht="15.75" hidden="1" customHeight="1">
      <c r="A14" s="49" t="str">
        <f>A71</f>
        <v>1.3. Motorista Turno do Dia</v>
      </c>
      <c r="B14" s="370"/>
      <c r="C14" s="47"/>
      <c r="D14" s="47"/>
      <c r="E14" s="371">
        <f>F81</f>
        <v>0</v>
      </c>
      <c r="F14" s="58">
        <f t="shared" si="0"/>
        <v>0</v>
      </c>
      <c r="G14" s="6"/>
    </row>
    <row r="15" spans="1:7" s="364" customFormat="1" ht="15.75" hidden="1" customHeight="1">
      <c r="A15" s="49" t="str">
        <f>A82</f>
        <v>1.4. Encarregado</v>
      </c>
      <c r="B15" s="370"/>
      <c r="C15" s="47"/>
      <c r="D15" s="47"/>
      <c r="E15" s="371">
        <f>F89</f>
        <v>0</v>
      </c>
      <c r="F15" s="58">
        <f t="shared" si="0"/>
        <v>0</v>
      </c>
      <c r="G15" s="6"/>
    </row>
    <row r="16" spans="1:7" s="364" customFormat="1" ht="15.75" hidden="1" customHeight="1">
      <c r="A16" s="49" t="str">
        <f>A91</f>
        <v>1.5. Vale Transporte</v>
      </c>
      <c r="B16" s="370"/>
      <c r="C16" s="47"/>
      <c r="D16" s="47"/>
      <c r="E16" s="371">
        <f>F97</f>
        <v>0</v>
      </c>
      <c r="F16" s="58">
        <f t="shared" si="0"/>
        <v>0</v>
      </c>
      <c r="G16" s="6"/>
    </row>
    <row r="17" spans="1:7" s="364" customFormat="1" ht="15.75" hidden="1" customHeight="1">
      <c r="A17" s="49" t="str">
        <f>A99</f>
        <v>1.6. Vale-refeição (diário)</v>
      </c>
      <c r="B17" s="370"/>
      <c r="C17" s="47"/>
      <c r="D17" s="47"/>
      <c r="E17" s="371">
        <f>F103</f>
        <v>0</v>
      </c>
      <c r="F17" s="58">
        <f t="shared" si="0"/>
        <v>0</v>
      </c>
      <c r="G17" s="6"/>
    </row>
    <row r="18" spans="1:7" s="364" customFormat="1" ht="15.75" hidden="1" customHeight="1">
      <c r="A18" s="49" t="str">
        <f>A105</f>
        <v>1.7. Auxílio Alimentação (mensal)</v>
      </c>
      <c r="B18" s="370"/>
      <c r="C18" s="47"/>
      <c r="D18" s="47"/>
      <c r="E18" s="371">
        <f>F109</f>
        <v>0</v>
      </c>
      <c r="F18" s="58">
        <f t="shared" si="0"/>
        <v>0</v>
      </c>
      <c r="G18" s="6"/>
    </row>
    <row r="19" spans="1:7" s="359" customFormat="1" ht="15.75" hidden="1" customHeight="1">
      <c r="A19" s="622" t="str">
        <f>A113</f>
        <v>2. Uniformes e Equipamentos de Proteção Individual</v>
      </c>
      <c r="B19" s="623"/>
      <c r="C19" s="623"/>
      <c r="D19" s="127"/>
      <c r="E19" s="369">
        <f>+F141</f>
        <v>0</v>
      </c>
      <c r="F19" s="128">
        <f t="shared" si="0"/>
        <v>0</v>
      </c>
      <c r="G19" s="44"/>
    </row>
    <row r="20" spans="1:7" s="359" customFormat="1" ht="15.75" hidden="1" customHeight="1">
      <c r="A20" s="350" t="str">
        <f>A143</f>
        <v>3. Veículos e Equipamentos</v>
      </c>
      <c r="B20" s="372"/>
      <c r="C20" s="127"/>
      <c r="D20" s="127"/>
      <c r="E20" s="369">
        <f>+F220</f>
        <v>0</v>
      </c>
      <c r="F20" s="128">
        <f t="shared" si="0"/>
        <v>0</v>
      </c>
      <c r="G20" s="44"/>
    </row>
    <row r="21" spans="1:7" s="364" customFormat="1" ht="15.75" hidden="1" customHeight="1">
      <c r="A21" s="65" t="str">
        <f>A145</f>
        <v>3.1. Veículo Carreta Basculante xx m³</v>
      </c>
      <c r="B21" s="373"/>
      <c r="C21" s="47"/>
      <c r="D21" s="47"/>
      <c r="E21" s="371">
        <f>SUM(E22:E27)</f>
        <v>0</v>
      </c>
      <c r="F21" s="374">
        <f t="shared" si="0"/>
        <v>0</v>
      </c>
      <c r="G21" s="6"/>
    </row>
    <row r="22" spans="1:7" s="364" customFormat="1" ht="15.75" hidden="1" customHeight="1">
      <c r="A22" s="65" t="str">
        <f>A147</f>
        <v>3.1.1. Depreciação</v>
      </c>
      <c r="B22" s="373"/>
      <c r="C22" s="47"/>
      <c r="D22" s="47"/>
      <c r="E22" s="371">
        <f>F161</f>
        <v>0</v>
      </c>
      <c r="F22" s="374">
        <f t="shared" si="0"/>
        <v>0</v>
      </c>
      <c r="G22" s="6"/>
    </row>
    <row r="23" spans="1:7" s="364" customFormat="1" ht="15.75" hidden="1" customHeight="1">
      <c r="A23" s="65" t="str">
        <f>A163</f>
        <v>3.1.2. Remuneração do Capital</v>
      </c>
      <c r="B23" s="373"/>
      <c r="C23" s="47"/>
      <c r="D23" s="47"/>
      <c r="E23" s="371">
        <f>F177</f>
        <v>0</v>
      </c>
      <c r="F23" s="374">
        <f t="shared" si="0"/>
        <v>0</v>
      </c>
      <c r="G23" s="6"/>
    </row>
    <row r="24" spans="1:7" s="364" customFormat="1" ht="15.75" hidden="1" customHeight="1">
      <c r="A24" s="65" t="str">
        <f>A179</f>
        <v>3.1.3. Impostos e Seguros</v>
      </c>
      <c r="B24" s="373"/>
      <c r="C24" s="47"/>
      <c r="D24" s="47"/>
      <c r="E24" s="371">
        <f>F185</f>
        <v>0</v>
      </c>
      <c r="F24" s="374">
        <f t="shared" si="0"/>
        <v>0</v>
      </c>
      <c r="G24" s="6"/>
    </row>
    <row r="25" spans="1:7" s="364" customFormat="1" ht="15.75" hidden="1" customHeight="1">
      <c r="A25" s="65" t="str">
        <f>A187</f>
        <v>3.1.4. Consumos</v>
      </c>
      <c r="B25" s="373"/>
      <c r="C25" s="47"/>
      <c r="D25" s="47"/>
      <c r="E25" s="371">
        <f>F203</f>
        <v>0</v>
      </c>
      <c r="F25" s="374">
        <f t="shared" si="0"/>
        <v>0</v>
      </c>
      <c r="G25" s="6"/>
    </row>
    <row r="26" spans="1:7" s="364" customFormat="1" ht="15.75" hidden="1" customHeight="1">
      <c r="A26" s="65" t="str">
        <f>A205</f>
        <v>3.1.5. Manutenção</v>
      </c>
      <c r="B26" s="373"/>
      <c r="C26" s="47"/>
      <c r="D26" s="47"/>
      <c r="E26" s="371">
        <f>F208</f>
        <v>0</v>
      </c>
      <c r="F26" s="374">
        <f t="shared" si="0"/>
        <v>0</v>
      </c>
      <c r="G26" s="6"/>
    </row>
    <row r="27" spans="1:7" s="364" customFormat="1" ht="15.75" hidden="1" customHeight="1">
      <c r="A27" s="65" t="str">
        <f>A210</f>
        <v>3.1.6. Pneus</v>
      </c>
      <c r="B27" s="373"/>
      <c r="C27" s="47"/>
      <c r="D27" s="47"/>
      <c r="E27" s="371">
        <f>F217</f>
        <v>0</v>
      </c>
      <c r="F27" s="374">
        <f t="shared" si="0"/>
        <v>0</v>
      </c>
      <c r="G27" s="6"/>
    </row>
    <row r="28" spans="1:7" s="359" customFormat="1" ht="15.75" customHeight="1">
      <c r="A28" s="350" t="str">
        <f>A222</f>
        <v xml:space="preserve">4. Destinação final </v>
      </c>
      <c r="B28" s="372"/>
      <c r="C28" s="127"/>
      <c r="D28" s="127"/>
      <c r="E28" s="369">
        <f>+F228</f>
        <v>14065.028999999999</v>
      </c>
      <c r="F28" s="128">
        <f t="shared" si="0"/>
        <v>0.80102531239987174</v>
      </c>
      <c r="G28" s="44"/>
    </row>
    <row r="29" spans="1:7" s="359" customFormat="1" ht="15.75" hidden="1" customHeight="1">
      <c r="A29" s="350" t="str">
        <f>A230</f>
        <v>5. Monitoramento da Frota</v>
      </c>
      <c r="B29" s="372"/>
      <c r="C29" s="127"/>
      <c r="D29" s="127"/>
      <c r="E29" s="369">
        <f>+F239</f>
        <v>0</v>
      </c>
      <c r="F29" s="128">
        <f t="shared" si="0"/>
        <v>0</v>
      </c>
      <c r="G29" s="44"/>
    </row>
    <row r="30" spans="1:7" s="359" customFormat="1" ht="15.75" customHeight="1" thickBot="1">
      <c r="A30" s="350" t="str">
        <f>A243</f>
        <v>5. Benefícios e Despesas Indiretas - BDI</v>
      </c>
      <c r="B30" s="372"/>
      <c r="C30" s="127"/>
      <c r="D30" s="127"/>
      <c r="E30" s="375">
        <f>+F249</f>
        <v>3493.7532035999993</v>
      </c>
      <c r="F30" s="128">
        <f t="shared" si="0"/>
        <v>0.19897468760012813</v>
      </c>
      <c r="G30" s="44"/>
    </row>
    <row r="31" spans="1:7" s="364" customFormat="1" ht="15.75" customHeight="1" thickBot="1">
      <c r="A31" s="42" t="s">
        <v>241</v>
      </c>
      <c r="B31" s="376"/>
      <c r="C31" s="26"/>
      <c r="D31" s="26"/>
      <c r="E31" s="377">
        <f>E11+E19+E20+E28+E29+E30</f>
        <v>17558.7822036</v>
      </c>
      <c r="F31" s="143">
        <f>F11+F19+F20+F28+F29+F30</f>
        <v>0.99999999999999989</v>
      </c>
      <c r="G31" s="6"/>
    </row>
    <row r="33" spans="1:7" hidden="1"/>
    <row r="34" spans="1:7" s="364" customFormat="1" ht="15" hidden="1" customHeight="1" thickBot="1">
      <c r="A34" s="633" t="s">
        <v>99</v>
      </c>
      <c r="B34" s="634"/>
      <c r="C34" s="634"/>
      <c r="D34" s="634"/>
      <c r="E34" s="635"/>
      <c r="F34" s="361"/>
      <c r="G34" s="6"/>
    </row>
    <row r="35" spans="1:7" s="364" customFormat="1" ht="15" hidden="1" customHeight="1" thickBot="1">
      <c r="A35" s="630" t="s">
        <v>41</v>
      </c>
      <c r="B35" s="631"/>
      <c r="C35" s="631"/>
      <c r="D35" s="632"/>
      <c r="E35" s="48" t="s">
        <v>42</v>
      </c>
      <c r="F35" s="361"/>
      <c r="G35" s="6"/>
    </row>
    <row r="36" spans="1:7" s="364" customFormat="1" ht="15" hidden="1" customHeight="1">
      <c r="A36" s="378" t="str">
        <f>+A49</f>
        <v>1.1. Coletor Turno Dia</v>
      </c>
      <c r="B36" s="379"/>
      <c r="C36" s="379"/>
      <c r="D36" s="380"/>
      <c r="E36" s="381">
        <f>C56</f>
        <v>0</v>
      </c>
      <c r="F36" s="361"/>
      <c r="G36" s="6"/>
    </row>
    <row r="37" spans="1:7" s="364" customFormat="1" ht="15" hidden="1" customHeight="1">
      <c r="A37" s="382" t="str">
        <f>+A59</f>
        <v>1.2. Coletor Turno Noite</v>
      </c>
      <c r="B37" s="383"/>
      <c r="C37" s="383"/>
      <c r="D37" s="384"/>
      <c r="E37" s="385">
        <f>C68</f>
        <v>0</v>
      </c>
      <c r="F37" s="361"/>
      <c r="G37" s="6"/>
    </row>
    <row r="38" spans="1:7" s="364" customFormat="1" ht="15" hidden="1" customHeight="1">
      <c r="A38" s="382" t="str">
        <f>+A71</f>
        <v>1.3. Motorista Turno do Dia</v>
      </c>
      <c r="B38" s="383"/>
      <c r="C38" s="383"/>
      <c r="D38" s="384"/>
      <c r="E38" s="385">
        <f>C80</f>
        <v>0</v>
      </c>
      <c r="F38" s="361"/>
      <c r="G38" s="6"/>
    </row>
    <row r="39" spans="1:7" s="364" customFormat="1" ht="15" hidden="1" customHeight="1">
      <c r="A39" s="382" t="str">
        <f>+A82</f>
        <v>1.4. Encarregado</v>
      </c>
      <c r="B39" s="383"/>
      <c r="C39" s="383"/>
      <c r="D39" s="384"/>
      <c r="E39" s="385">
        <f>C88</f>
        <v>0</v>
      </c>
      <c r="F39" s="361"/>
      <c r="G39" s="6"/>
    </row>
    <row r="40" spans="1:7" s="364" customFormat="1" ht="15" hidden="1" customHeight="1" thickBot="1">
      <c r="A40" s="71" t="s">
        <v>60</v>
      </c>
      <c r="B40" s="386"/>
      <c r="C40" s="386"/>
      <c r="D40" s="387"/>
      <c r="E40" s="79">
        <f>SUM(E36:E39)</f>
        <v>0</v>
      </c>
      <c r="F40" s="361"/>
      <c r="G40" s="6"/>
    </row>
    <row r="41" spans="1:7" s="364" customFormat="1" ht="15" hidden="1" customHeight="1" thickBot="1">
      <c r="A41" s="129"/>
      <c r="B41" s="388"/>
      <c r="C41" s="389"/>
      <c r="D41" s="389"/>
      <c r="E41" s="390"/>
      <c r="F41" s="361"/>
      <c r="G41" s="6"/>
    </row>
    <row r="42" spans="1:7" s="364" customFormat="1" ht="15" hidden="1" customHeight="1">
      <c r="A42" s="642" t="s">
        <v>58</v>
      </c>
      <c r="B42" s="643"/>
      <c r="C42" s="643"/>
      <c r="D42" s="643"/>
      <c r="E42" s="48" t="s">
        <v>42</v>
      </c>
      <c r="F42" s="360"/>
      <c r="G42" s="6"/>
    </row>
    <row r="43" spans="1:7" s="364" customFormat="1" ht="15" hidden="1" customHeight="1" thickBot="1">
      <c r="A43" s="391" t="str">
        <f>+A145</f>
        <v>3.1. Veículo Carreta Basculante xx m³</v>
      </c>
      <c r="B43" s="392"/>
      <c r="C43" s="392"/>
      <c r="D43" s="393"/>
      <c r="E43" s="394">
        <f>C160</f>
        <v>0</v>
      </c>
      <c r="F43" s="360"/>
      <c r="G43" s="6"/>
    </row>
    <row r="44" spans="1:7" s="364" customFormat="1" ht="15" hidden="1" customHeight="1">
      <c r="A44" s="389"/>
      <c r="B44" s="389"/>
      <c r="C44" s="389"/>
      <c r="D44" s="395"/>
      <c r="E44" s="396"/>
      <c r="F44" s="360"/>
      <c r="G44" s="6"/>
    </row>
    <row r="45" spans="1:7" s="364" customFormat="1" hidden="1">
      <c r="A45" s="389"/>
      <c r="B45" s="389"/>
      <c r="C45" s="389"/>
      <c r="D45" s="395"/>
      <c r="E45" s="397"/>
      <c r="F45" s="361"/>
      <c r="G45" s="6"/>
    </row>
    <row r="46" spans="1:7" s="359" customFormat="1" ht="15.75" hidden="1" customHeight="1" thickBot="1">
      <c r="A46" s="262" t="s">
        <v>198</v>
      </c>
      <c r="B46" s="326">
        <v>0</v>
      </c>
      <c r="C46" s="35"/>
      <c r="D46" s="398"/>
      <c r="E46" s="399"/>
      <c r="G46" s="44"/>
    </row>
    <row r="47" spans="1:7" s="364" customFormat="1" ht="15.75" hidden="1" customHeight="1">
      <c r="A47" s="389"/>
      <c r="B47" s="389"/>
      <c r="C47" s="389"/>
      <c r="D47" s="395"/>
      <c r="E47" s="397"/>
      <c r="F47" s="360"/>
      <c r="G47" s="6"/>
    </row>
    <row r="48" spans="1:7" ht="13.2" hidden="1" customHeight="1">
      <c r="A48" s="359" t="s">
        <v>49</v>
      </c>
    </row>
    <row r="49" spans="1:7" ht="13.95" hidden="1" customHeight="1" thickBot="1">
      <c r="A49" s="360" t="s">
        <v>102</v>
      </c>
    </row>
    <row r="50" spans="1:7" ht="13.95" hidden="1" customHeight="1" thickBot="1">
      <c r="A50" s="400" t="s">
        <v>64</v>
      </c>
      <c r="B50" s="401" t="s">
        <v>65</v>
      </c>
      <c r="C50" s="401" t="s">
        <v>42</v>
      </c>
      <c r="D50" s="62" t="s">
        <v>237</v>
      </c>
      <c r="E50" s="62"/>
      <c r="F50" s="63"/>
    </row>
    <row r="51" spans="1:7" ht="13.2" hidden="1" customHeight="1">
      <c r="A51" s="402" t="s">
        <v>219</v>
      </c>
      <c r="B51" s="403" t="s">
        <v>8</v>
      </c>
      <c r="C51" s="403">
        <v>1</v>
      </c>
      <c r="D51" s="325">
        <f>1221.88</f>
        <v>1221.8800000000001</v>
      </c>
      <c r="E51" s="404"/>
    </row>
    <row r="52" spans="1:7" hidden="1">
      <c r="A52" s="405" t="s">
        <v>1</v>
      </c>
      <c r="B52" s="406" t="s">
        <v>2</v>
      </c>
      <c r="C52" s="406">
        <v>40</v>
      </c>
      <c r="D52" s="407">
        <f>SUM(E51:E51)</f>
        <v>0</v>
      </c>
      <c r="E52" s="408"/>
    </row>
    <row r="53" spans="1:7" hidden="1">
      <c r="A53" s="409" t="s">
        <v>3</v>
      </c>
      <c r="B53" s="410"/>
      <c r="C53" s="410"/>
      <c r="D53" s="118"/>
      <c r="E53" s="119"/>
    </row>
    <row r="54" spans="1:7" hidden="1">
      <c r="A54" s="405" t="s">
        <v>4</v>
      </c>
      <c r="B54" s="406" t="s">
        <v>2</v>
      </c>
      <c r="C54" s="411">
        <f>'[2]2.Encargos Sociais'!$C$34*100</f>
        <v>40</v>
      </c>
      <c r="D54" s="408">
        <f>E53</f>
        <v>0</v>
      </c>
      <c r="E54" s="408"/>
    </row>
    <row r="55" spans="1:7" hidden="1">
      <c r="A55" s="409" t="s">
        <v>74</v>
      </c>
      <c r="B55" s="410"/>
      <c r="C55" s="410"/>
      <c r="D55" s="118"/>
      <c r="E55" s="119"/>
    </row>
    <row r="56" spans="1:7" hidden="1">
      <c r="A56" s="405" t="s">
        <v>5</v>
      </c>
      <c r="B56" s="406" t="s">
        <v>6</v>
      </c>
      <c r="C56" s="412">
        <v>0</v>
      </c>
      <c r="D56" s="408">
        <f>E55</f>
        <v>0</v>
      </c>
      <c r="E56" s="408"/>
      <c r="G56" s="6"/>
    </row>
    <row r="57" spans="1:7" ht="13.95" hidden="1" customHeight="1" thickBot="1">
      <c r="D57" s="413" t="s">
        <v>197</v>
      </c>
      <c r="E57" s="414"/>
      <c r="F57" s="124"/>
      <c r="G57" s="6"/>
    </row>
    <row r="58" spans="1:7" ht="11.25" hidden="1" customHeight="1"/>
    <row r="59" spans="1:7" hidden="1">
      <c r="A59" s="360" t="s">
        <v>92</v>
      </c>
    </row>
    <row r="60" spans="1:7" ht="13.8" hidden="1" thickBot="1">
      <c r="A60" s="400" t="s">
        <v>64</v>
      </c>
      <c r="B60" s="401" t="s">
        <v>65</v>
      </c>
      <c r="C60" s="401" t="s">
        <v>42</v>
      </c>
      <c r="D60" s="62" t="s">
        <v>237</v>
      </c>
      <c r="E60" s="62"/>
      <c r="F60" s="63"/>
    </row>
    <row r="61" spans="1:7" hidden="1">
      <c r="A61" s="402" t="s">
        <v>219</v>
      </c>
      <c r="B61" s="403" t="s">
        <v>8</v>
      </c>
      <c r="C61" s="403">
        <v>1</v>
      </c>
      <c r="D61" s="404">
        <f>D51</f>
        <v>1221.8800000000001</v>
      </c>
      <c r="E61" s="404"/>
    </row>
    <row r="62" spans="1:7" hidden="1">
      <c r="A62" s="405" t="s">
        <v>7</v>
      </c>
      <c r="B62" s="406" t="s">
        <v>100</v>
      </c>
      <c r="C62" s="415"/>
      <c r="D62" s="408"/>
      <c r="E62" s="408"/>
    </row>
    <row r="63" spans="1:7" hidden="1">
      <c r="A63" s="405"/>
      <c r="B63" s="406" t="s">
        <v>104</v>
      </c>
      <c r="C63" s="416">
        <f>C62*8/7</f>
        <v>0</v>
      </c>
      <c r="D63" s="408">
        <f>D61/220*0.2</f>
        <v>1.1108</v>
      </c>
      <c r="E63" s="408"/>
    </row>
    <row r="64" spans="1:7" hidden="1">
      <c r="A64" s="405" t="s">
        <v>1</v>
      </c>
      <c r="B64" s="406" t="s">
        <v>2</v>
      </c>
      <c r="C64" s="406">
        <f>+C52</f>
        <v>40</v>
      </c>
      <c r="D64" s="407">
        <f>SUM(E61:E63)</f>
        <v>0</v>
      </c>
      <c r="E64" s="408"/>
    </row>
    <row r="65" spans="1:7" hidden="1">
      <c r="A65" s="409" t="s">
        <v>3</v>
      </c>
      <c r="B65" s="410"/>
      <c r="C65" s="410"/>
      <c r="D65" s="118"/>
      <c r="E65" s="119"/>
    </row>
    <row r="66" spans="1:7" hidden="1">
      <c r="A66" s="405" t="s">
        <v>4</v>
      </c>
      <c r="B66" s="406" t="s">
        <v>2</v>
      </c>
      <c r="C66" s="411">
        <f>'[2]2.Encargos Sociais'!$C$34*100</f>
        <v>40</v>
      </c>
      <c r="D66" s="408">
        <f>E65</f>
        <v>0</v>
      </c>
      <c r="E66" s="408"/>
    </row>
    <row r="67" spans="1:7" hidden="1">
      <c r="A67" s="409" t="s">
        <v>74</v>
      </c>
      <c r="B67" s="410"/>
      <c r="C67" s="410"/>
      <c r="D67" s="118"/>
      <c r="E67" s="119"/>
    </row>
    <row r="68" spans="1:7" hidden="1">
      <c r="A68" s="405" t="s">
        <v>5</v>
      </c>
      <c r="B68" s="406" t="s">
        <v>6</v>
      </c>
      <c r="C68" s="412"/>
      <c r="D68" s="408">
        <f>E67</f>
        <v>0</v>
      </c>
      <c r="E68" s="408"/>
    </row>
    <row r="69" spans="1:7" ht="13.8" hidden="1" thickBot="1">
      <c r="D69" s="413" t="s">
        <v>197</v>
      </c>
      <c r="E69" s="414"/>
      <c r="F69" s="124"/>
    </row>
    <row r="70" spans="1:7" ht="11.25" hidden="1" customHeight="1"/>
    <row r="71" spans="1:7" ht="13.8" hidden="1" thickBot="1">
      <c r="A71" s="360" t="s">
        <v>103</v>
      </c>
    </row>
    <row r="72" spans="1:7" s="417" customFormat="1" ht="13.2" hidden="1" customHeight="1" thickBot="1">
      <c r="A72" s="400" t="s">
        <v>64</v>
      </c>
      <c r="B72" s="401" t="s">
        <v>65</v>
      </c>
      <c r="C72" s="401" t="s">
        <v>42</v>
      </c>
      <c r="D72" s="62" t="s">
        <v>237</v>
      </c>
      <c r="E72" s="62" t="s">
        <v>66</v>
      </c>
      <c r="F72" s="63" t="s">
        <v>67</v>
      </c>
      <c r="G72" s="361"/>
    </row>
    <row r="73" spans="1:7" hidden="1">
      <c r="A73" s="402" t="s">
        <v>407</v>
      </c>
      <c r="B73" s="403" t="s">
        <v>8</v>
      </c>
      <c r="C73" s="403">
        <v>1</v>
      </c>
      <c r="D73" s="325">
        <v>1898</v>
      </c>
      <c r="E73" s="404">
        <f>C73*D73</f>
        <v>1898</v>
      </c>
    </row>
    <row r="74" spans="1:7" hidden="1">
      <c r="A74" s="402" t="s">
        <v>408</v>
      </c>
      <c r="B74" s="403" t="s">
        <v>8</v>
      </c>
      <c r="C74" s="403">
        <v>1</v>
      </c>
      <c r="D74" s="325">
        <v>998</v>
      </c>
      <c r="E74" s="404"/>
    </row>
    <row r="75" spans="1:7" hidden="1">
      <c r="A75" s="405" t="s">
        <v>220</v>
      </c>
      <c r="B75" s="406"/>
      <c r="C75" s="412">
        <v>1</v>
      </c>
      <c r="D75" s="408"/>
      <c r="E75" s="408"/>
    </row>
    <row r="76" spans="1:7" hidden="1">
      <c r="A76" s="405" t="s">
        <v>1</v>
      </c>
      <c r="B76" s="406" t="s">
        <v>2</v>
      </c>
      <c r="C76" s="412">
        <v>40</v>
      </c>
      <c r="D76" s="407">
        <f>IF(C75=2,SUM(E73:E74),IF(C75=1,(SUM(E73:E74))*D74/D73,0))</f>
        <v>998</v>
      </c>
      <c r="E76" s="408">
        <f>C76*D76/100</f>
        <v>399.2</v>
      </c>
    </row>
    <row r="77" spans="1:7" s="359" customFormat="1" hidden="1">
      <c r="A77" s="418" t="s">
        <v>3</v>
      </c>
      <c r="B77" s="410"/>
      <c r="C77" s="410"/>
      <c r="D77" s="118"/>
      <c r="E77" s="105">
        <f>SUM(E73:E76)</f>
        <v>2297.1999999999998</v>
      </c>
      <c r="F77" s="44"/>
      <c r="G77" s="44"/>
    </row>
    <row r="78" spans="1:7" hidden="1">
      <c r="A78" s="405" t="s">
        <v>4</v>
      </c>
      <c r="B78" s="406" t="s">
        <v>2</v>
      </c>
      <c r="C78" s="411">
        <f>'5.Enc Sociais'!C38*100</f>
        <v>72.231660000000005</v>
      </c>
      <c r="D78" s="408">
        <f>E77</f>
        <v>2297.1999999999998</v>
      </c>
      <c r="E78" s="408">
        <f>D78*C78/100</f>
        <v>1659.30569352</v>
      </c>
    </row>
    <row r="79" spans="1:7" s="359" customFormat="1" hidden="1">
      <c r="A79" s="418" t="s">
        <v>257</v>
      </c>
      <c r="B79" s="419"/>
      <c r="C79" s="419"/>
      <c r="D79" s="269"/>
      <c r="E79" s="105">
        <f>E77+E78</f>
        <v>3956.50569352</v>
      </c>
      <c r="F79" s="44"/>
      <c r="G79" s="44"/>
    </row>
    <row r="80" spans="1:7" ht="13.8" hidden="1" thickBot="1">
      <c r="A80" s="405" t="s">
        <v>5</v>
      </c>
      <c r="B80" s="406" t="s">
        <v>6</v>
      </c>
      <c r="C80" s="412">
        <v>0</v>
      </c>
      <c r="D80" s="408">
        <f>E79</f>
        <v>3956.50569352</v>
      </c>
      <c r="E80" s="408">
        <f>C80*D80</f>
        <v>0</v>
      </c>
    </row>
    <row r="81" spans="1:7" ht="13.8" hidden="1" thickBot="1">
      <c r="A81" s="360" t="s">
        <v>409</v>
      </c>
      <c r="D81" s="413" t="s">
        <v>197</v>
      </c>
      <c r="E81" s="420">
        <f>B46</f>
        <v>0</v>
      </c>
      <c r="F81" s="124">
        <f>E80*E81</f>
        <v>0</v>
      </c>
    </row>
    <row r="82" spans="1:7" hidden="1">
      <c r="A82" s="359" t="s">
        <v>410</v>
      </c>
    </row>
    <row r="83" spans="1:7" ht="13.8" hidden="1" thickBot="1">
      <c r="A83" s="400" t="s">
        <v>64</v>
      </c>
      <c r="B83" s="401" t="s">
        <v>65</v>
      </c>
      <c r="C83" s="401" t="s">
        <v>42</v>
      </c>
      <c r="D83" s="62" t="s">
        <v>237</v>
      </c>
      <c r="E83" s="62" t="s">
        <v>66</v>
      </c>
      <c r="F83" s="63" t="s">
        <v>67</v>
      </c>
    </row>
    <row r="84" spans="1:7" hidden="1">
      <c r="A84" s="402" t="s">
        <v>219</v>
      </c>
      <c r="B84" s="403" t="s">
        <v>8</v>
      </c>
      <c r="C84" s="403">
        <v>1</v>
      </c>
      <c r="D84" s="404">
        <f>8*220</f>
        <v>1760</v>
      </c>
      <c r="E84" s="404">
        <f>C84*D84</f>
        <v>1760</v>
      </c>
    </row>
    <row r="85" spans="1:7" s="359" customFormat="1" hidden="1">
      <c r="A85" s="409" t="s">
        <v>3</v>
      </c>
      <c r="B85" s="410"/>
      <c r="C85" s="410"/>
      <c r="D85" s="118"/>
      <c r="E85" s="119">
        <f>SUM(E84:E84)</f>
        <v>1760</v>
      </c>
      <c r="F85" s="44"/>
      <c r="G85" s="44"/>
    </row>
    <row r="86" spans="1:7" hidden="1">
      <c r="A86" s="405" t="s">
        <v>4</v>
      </c>
      <c r="B86" s="406" t="s">
        <v>2</v>
      </c>
      <c r="C86" s="411">
        <f>'[2]2.Encargos Sociais'!$C$34*100</f>
        <v>40</v>
      </c>
      <c r="D86" s="408">
        <f>E85</f>
        <v>1760</v>
      </c>
      <c r="E86" s="408">
        <f>D86*C86/100</f>
        <v>704</v>
      </c>
    </row>
    <row r="87" spans="1:7" s="359" customFormat="1" hidden="1">
      <c r="A87" s="409" t="s">
        <v>257</v>
      </c>
      <c r="B87" s="410"/>
      <c r="C87" s="410"/>
      <c r="D87" s="118"/>
      <c r="E87" s="119">
        <f>E85+E86</f>
        <v>2464</v>
      </c>
      <c r="F87" s="44"/>
      <c r="G87" s="44"/>
    </row>
    <row r="88" spans="1:7" hidden="1">
      <c r="A88" s="405" t="s">
        <v>5</v>
      </c>
      <c r="B88" s="406" t="s">
        <v>6</v>
      </c>
      <c r="C88" s="412">
        <v>0</v>
      </c>
      <c r="D88" s="408">
        <f>E87</f>
        <v>2464</v>
      </c>
      <c r="E88" s="408">
        <f>C88*D88</f>
        <v>0</v>
      </c>
    </row>
    <row r="89" spans="1:7" ht="13.8" hidden="1" thickBot="1">
      <c r="D89" s="413" t="s">
        <v>197</v>
      </c>
      <c r="E89" s="414">
        <f>40/220</f>
        <v>0.18181818181818182</v>
      </c>
      <c r="F89" s="124">
        <f>E88*E89</f>
        <v>0</v>
      </c>
    </row>
    <row r="90" spans="1:7" ht="11.25" hidden="1" customHeight="1">
      <c r="G90" s="360"/>
    </row>
    <row r="91" spans="1:7" hidden="1">
      <c r="A91" s="360" t="s">
        <v>105</v>
      </c>
      <c r="B91" s="421"/>
      <c r="D91" s="360"/>
      <c r="E91" s="360"/>
      <c r="G91" s="360"/>
    </row>
    <row r="92" spans="1:7" ht="13.8" hidden="1" thickBot="1">
      <c r="A92" s="400" t="s">
        <v>64</v>
      </c>
      <c r="B92" s="401" t="s">
        <v>65</v>
      </c>
      <c r="C92" s="401" t="s">
        <v>42</v>
      </c>
      <c r="D92" s="62" t="s">
        <v>237</v>
      </c>
      <c r="E92" s="62" t="s">
        <v>66</v>
      </c>
      <c r="F92" s="63" t="s">
        <v>67</v>
      </c>
      <c r="G92" s="360"/>
    </row>
    <row r="93" spans="1:7" hidden="1">
      <c r="A93" s="405" t="s">
        <v>93</v>
      </c>
      <c r="B93" s="406" t="s">
        <v>35</v>
      </c>
      <c r="C93" s="422">
        <v>1</v>
      </c>
      <c r="D93" s="423">
        <v>0</v>
      </c>
      <c r="E93" s="408"/>
      <c r="G93" s="360"/>
    </row>
    <row r="94" spans="1:7" hidden="1">
      <c r="A94" s="405" t="s">
        <v>94</v>
      </c>
      <c r="B94" s="406" t="s">
        <v>95</v>
      </c>
      <c r="C94" s="424">
        <v>13</v>
      </c>
      <c r="D94" s="408"/>
      <c r="E94" s="408"/>
      <c r="G94" s="360"/>
    </row>
    <row r="95" spans="1:7" hidden="1">
      <c r="A95" s="405" t="s">
        <v>75</v>
      </c>
      <c r="B95" s="406" t="s">
        <v>9</v>
      </c>
      <c r="C95" s="425"/>
      <c r="D95" s="404"/>
      <c r="E95" s="408">
        <f>IFERROR(C95*D95,"-")</f>
        <v>0</v>
      </c>
      <c r="G95" s="360"/>
    </row>
    <row r="96" spans="1:7" hidden="1">
      <c r="A96" s="402" t="s">
        <v>46</v>
      </c>
      <c r="B96" s="403" t="s">
        <v>9</v>
      </c>
      <c r="C96" s="425"/>
      <c r="D96" s="404"/>
      <c r="E96" s="404">
        <f>IFERROR(C96*D96,"-")</f>
        <v>0</v>
      </c>
      <c r="G96" s="360"/>
    </row>
    <row r="97" spans="1:7" ht="13.8" hidden="1" thickBot="1">
      <c r="F97" s="22">
        <f>SUM(E95:E96)</f>
        <v>0</v>
      </c>
      <c r="G97" s="360"/>
    </row>
    <row r="98" spans="1:7" ht="11.25" hidden="1" customHeight="1">
      <c r="G98" s="360"/>
    </row>
    <row r="99" spans="1:7" ht="13.8" hidden="1" thickBot="1">
      <c r="A99" s="359" t="s">
        <v>124</v>
      </c>
      <c r="F99" s="23"/>
      <c r="G99" s="360"/>
    </row>
    <row r="100" spans="1:7" ht="13.8" hidden="1" thickBot="1">
      <c r="A100" s="400" t="s">
        <v>64</v>
      </c>
      <c r="B100" s="401" t="s">
        <v>65</v>
      </c>
      <c r="C100" s="401" t="s">
        <v>42</v>
      </c>
      <c r="D100" s="62" t="s">
        <v>237</v>
      </c>
      <c r="E100" s="62" t="s">
        <v>66</v>
      </c>
      <c r="F100" s="63" t="s">
        <v>67</v>
      </c>
      <c r="G100" s="360"/>
    </row>
    <row r="101" spans="1:7" hidden="1">
      <c r="A101" s="405" t="str">
        <f>+A95</f>
        <v>Coletor</v>
      </c>
      <c r="B101" s="406" t="s">
        <v>10</v>
      </c>
      <c r="C101" s="426">
        <v>0</v>
      </c>
      <c r="D101" s="427">
        <v>14</v>
      </c>
      <c r="E101" s="414">
        <f>C101*D101</f>
        <v>0</v>
      </c>
      <c r="F101" s="23"/>
      <c r="G101" s="360"/>
    </row>
    <row r="102" spans="1:7" ht="13.8" hidden="1" thickBot="1">
      <c r="A102" s="405" t="str">
        <f>+A96</f>
        <v>Motorista</v>
      </c>
      <c r="B102" s="406" t="s">
        <v>10</v>
      </c>
      <c r="C102" s="426">
        <v>0</v>
      </c>
      <c r="D102" s="427">
        <v>8.91</v>
      </c>
      <c r="E102" s="414">
        <f>C102*D102</f>
        <v>0</v>
      </c>
      <c r="F102" s="23"/>
      <c r="G102" s="360"/>
    </row>
    <row r="103" spans="1:7" ht="13.8" hidden="1" thickBot="1">
      <c r="F103" s="22">
        <f>SUM(E101:E102)</f>
        <v>0</v>
      </c>
      <c r="G103" s="360"/>
    </row>
    <row r="104" spans="1:7" ht="13.8" hidden="1" thickBot="1">
      <c r="G104" s="360"/>
    </row>
    <row r="105" spans="1:7" ht="13.8" hidden="1" thickBot="1">
      <c r="A105" s="360" t="s">
        <v>125</v>
      </c>
      <c r="F105" s="23"/>
      <c r="G105" s="360"/>
    </row>
    <row r="106" spans="1:7" ht="13.8" hidden="1" thickBot="1">
      <c r="A106" s="400" t="s">
        <v>64</v>
      </c>
      <c r="B106" s="401" t="s">
        <v>65</v>
      </c>
      <c r="C106" s="401" t="s">
        <v>42</v>
      </c>
      <c r="D106" s="62" t="s">
        <v>237</v>
      </c>
      <c r="E106" s="62" t="s">
        <v>66</v>
      </c>
      <c r="F106" s="63" t="s">
        <v>67</v>
      </c>
      <c r="G106" s="360"/>
    </row>
    <row r="107" spans="1:7" ht="13.8" hidden="1" thickBot="1">
      <c r="A107" s="405" t="str">
        <f>+A101</f>
        <v>Coletor</v>
      </c>
      <c r="B107" s="406" t="s">
        <v>10</v>
      </c>
      <c r="C107" s="426">
        <f>E36+E37</f>
        <v>0</v>
      </c>
      <c r="D107" s="427"/>
      <c r="E107" s="414">
        <f>C107*D107</f>
        <v>0</v>
      </c>
      <c r="F107" s="23"/>
      <c r="G107" s="360"/>
    </row>
    <row r="108" spans="1:7" ht="13.8" hidden="1" thickBot="1">
      <c r="A108" s="405" t="str">
        <f>+A102</f>
        <v>Motorista</v>
      </c>
      <c r="B108" s="406" t="s">
        <v>10</v>
      </c>
      <c r="C108" s="426">
        <f>E38+E39</f>
        <v>0</v>
      </c>
      <c r="D108" s="427"/>
      <c r="E108" s="414">
        <f>C108*D108</f>
        <v>0</v>
      </c>
      <c r="F108" s="23"/>
      <c r="G108" s="360"/>
    </row>
    <row r="109" spans="1:7" ht="13.8" hidden="1" thickBot="1">
      <c r="D109" s="413" t="s">
        <v>197</v>
      </c>
      <c r="E109" s="414">
        <f>$B$46</f>
        <v>0</v>
      </c>
      <c r="F109" s="22">
        <f>SUM(E107:E108)*E109</f>
        <v>0</v>
      </c>
      <c r="G109" s="360"/>
    </row>
    <row r="110" spans="1:7" ht="13.8" hidden="1" thickBot="1">
      <c r="G110" s="360"/>
    </row>
    <row r="111" spans="1:7" ht="13.8" hidden="1" thickBot="1">
      <c r="A111" s="428" t="s">
        <v>96</v>
      </c>
      <c r="B111" s="429"/>
      <c r="C111" s="429"/>
      <c r="D111" s="26"/>
      <c r="E111" s="27"/>
      <c r="F111" s="22">
        <f>F109+F103+F97+F89+F81+F69+F57</f>
        <v>0</v>
      </c>
      <c r="G111" s="360"/>
    </row>
    <row r="112" spans="1:7" hidden="1"/>
    <row r="113" spans="1:7" hidden="1">
      <c r="A113" s="359" t="s">
        <v>47</v>
      </c>
      <c r="G113" s="360"/>
    </row>
    <row r="114" spans="1:7" ht="11.25" hidden="1" customHeight="1">
      <c r="G114" s="360"/>
    </row>
    <row r="115" spans="1:7" ht="13.95" hidden="1" customHeight="1">
      <c r="A115" s="359" t="s">
        <v>199</v>
      </c>
      <c r="G115" s="360"/>
    </row>
    <row r="116" spans="1:7" ht="11.25" hidden="1" customHeight="1" thickBot="1">
      <c r="G116" s="360"/>
    </row>
    <row r="117" spans="1:7" ht="27.75" hidden="1" customHeight="1" thickBot="1">
      <c r="A117" s="400" t="s">
        <v>64</v>
      </c>
      <c r="B117" s="401" t="s">
        <v>65</v>
      </c>
      <c r="C117" s="430" t="s">
        <v>259</v>
      </c>
      <c r="D117" s="62" t="s">
        <v>237</v>
      </c>
      <c r="E117" s="62" t="s">
        <v>66</v>
      </c>
      <c r="F117" s="63" t="s">
        <v>67</v>
      </c>
      <c r="G117" s="360"/>
    </row>
    <row r="118" spans="1:7" hidden="1">
      <c r="A118" s="402" t="s">
        <v>68</v>
      </c>
      <c r="B118" s="403" t="s">
        <v>10</v>
      </c>
      <c r="C118" s="431">
        <v>6</v>
      </c>
      <c r="D118" s="325">
        <v>70</v>
      </c>
      <c r="E118" s="404">
        <f>IFERROR(D118/C118,0)</f>
        <v>11.666666666666666</v>
      </c>
      <c r="G118" s="360"/>
    </row>
    <row r="119" spans="1:7" ht="13.2" hidden="1" customHeight="1">
      <c r="A119" s="405" t="s">
        <v>30</v>
      </c>
      <c r="B119" s="406" t="s">
        <v>10</v>
      </c>
      <c r="C119" s="431">
        <v>2</v>
      </c>
      <c r="D119" s="325">
        <v>38</v>
      </c>
      <c r="E119" s="404">
        <f t="shared" ref="E119:E124" si="1">IFERROR(D119/C119,0)</f>
        <v>19</v>
      </c>
      <c r="G119" s="360"/>
    </row>
    <row r="120" spans="1:7" hidden="1">
      <c r="A120" s="405" t="s">
        <v>31</v>
      </c>
      <c r="B120" s="406" t="s">
        <v>10</v>
      </c>
      <c r="C120" s="431">
        <v>1</v>
      </c>
      <c r="D120" s="325">
        <v>28</v>
      </c>
      <c r="E120" s="404">
        <f t="shared" si="1"/>
        <v>28</v>
      </c>
      <c r="G120" s="360"/>
    </row>
    <row r="121" spans="1:7" hidden="1">
      <c r="A121" s="405" t="s">
        <v>411</v>
      </c>
      <c r="B121" s="406" t="s">
        <v>50</v>
      </c>
      <c r="C121" s="431">
        <v>3</v>
      </c>
      <c r="D121" s="325">
        <v>56</v>
      </c>
      <c r="E121" s="404">
        <f t="shared" si="1"/>
        <v>18.666666666666668</v>
      </c>
      <c r="G121" s="360"/>
    </row>
    <row r="122" spans="1:7" ht="13.2" hidden="1" customHeight="1">
      <c r="A122" s="405" t="s">
        <v>69</v>
      </c>
      <c r="B122" s="406" t="s">
        <v>10</v>
      </c>
      <c r="C122" s="431">
        <v>6</v>
      </c>
      <c r="D122" s="325">
        <v>65</v>
      </c>
      <c r="E122" s="404">
        <f t="shared" si="1"/>
        <v>10.833333333333334</v>
      </c>
      <c r="G122" s="360"/>
    </row>
    <row r="123" spans="1:7" ht="13.95" hidden="1" customHeight="1">
      <c r="A123" s="405" t="s">
        <v>63</v>
      </c>
      <c r="B123" s="406" t="s">
        <v>51</v>
      </c>
      <c r="C123" s="431">
        <v>3</v>
      </c>
      <c r="D123" s="325">
        <v>20</v>
      </c>
      <c r="E123" s="404">
        <f t="shared" si="1"/>
        <v>6.666666666666667</v>
      </c>
      <c r="G123" s="360"/>
    </row>
    <row r="124" spans="1:7" ht="13.2" hidden="1" customHeight="1">
      <c r="A124" s="405" t="s">
        <v>200</v>
      </c>
      <c r="B124" s="406" t="s">
        <v>126</v>
      </c>
      <c r="C124" s="431">
        <v>1</v>
      </c>
      <c r="D124" s="325">
        <v>50</v>
      </c>
      <c r="E124" s="404">
        <f t="shared" si="1"/>
        <v>50</v>
      </c>
    </row>
    <row r="125" spans="1:7" hidden="1">
      <c r="A125" s="405" t="s">
        <v>5</v>
      </c>
      <c r="B125" s="406" t="s">
        <v>6</v>
      </c>
      <c r="C125" s="432">
        <v>0</v>
      </c>
      <c r="D125" s="408">
        <f>+SUM(E118:E124)</f>
        <v>144.83333333333331</v>
      </c>
      <c r="E125" s="408">
        <f t="shared" ref="E125" si="2">C125*D125</f>
        <v>0</v>
      </c>
    </row>
    <row r="126" spans="1:7" ht="13.8" hidden="1" thickBot="1">
      <c r="D126" s="413" t="s">
        <v>197</v>
      </c>
      <c r="E126" s="414">
        <f>$B$46</f>
        <v>0</v>
      </c>
      <c r="F126" s="124">
        <f>E125*E126</f>
        <v>0</v>
      </c>
    </row>
    <row r="127" spans="1:7" ht="11.25" hidden="1" customHeight="1"/>
    <row r="128" spans="1:7" ht="13.95" hidden="1" customHeight="1">
      <c r="A128" s="360" t="s">
        <v>201</v>
      </c>
    </row>
    <row r="129" spans="1:7" ht="11.25" hidden="1" customHeight="1" thickBot="1"/>
    <row r="130" spans="1:7" ht="24.6" hidden="1" thickBot="1">
      <c r="A130" s="400" t="s">
        <v>64</v>
      </c>
      <c r="B130" s="401" t="s">
        <v>65</v>
      </c>
      <c r="C130" s="430" t="s">
        <v>259</v>
      </c>
      <c r="D130" s="62" t="s">
        <v>237</v>
      </c>
      <c r="E130" s="62" t="s">
        <v>66</v>
      </c>
      <c r="F130" s="63" t="s">
        <v>67</v>
      </c>
    </row>
    <row r="131" spans="1:7" hidden="1">
      <c r="A131" s="402" t="s">
        <v>68</v>
      </c>
      <c r="B131" s="403" t="s">
        <v>10</v>
      </c>
      <c r="C131" s="431">
        <v>12</v>
      </c>
      <c r="D131" s="325">
        <v>110</v>
      </c>
      <c r="E131" s="404">
        <f>IFERROR(D131/C131,0)</f>
        <v>9.1666666666666661</v>
      </c>
    </row>
    <row r="132" spans="1:7" hidden="1">
      <c r="A132" s="405" t="s">
        <v>30</v>
      </c>
      <c r="B132" s="406" t="s">
        <v>10</v>
      </c>
      <c r="C132" s="431">
        <v>4</v>
      </c>
      <c r="D132" s="325">
        <v>30</v>
      </c>
      <c r="E132" s="404">
        <f t="shared" ref="E132:E136" si="3">IFERROR(D132/C132,0)</f>
        <v>7.5</v>
      </c>
    </row>
    <row r="133" spans="1:7" hidden="1">
      <c r="A133" s="405" t="s">
        <v>31</v>
      </c>
      <c r="B133" s="406" t="s">
        <v>10</v>
      </c>
      <c r="C133" s="431">
        <v>2</v>
      </c>
      <c r="D133" s="325">
        <v>28</v>
      </c>
      <c r="E133" s="404">
        <f t="shared" si="3"/>
        <v>14</v>
      </c>
    </row>
    <row r="134" spans="1:7" hidden="1">
      <c r="A134" s="405" t="s">
        <v>411</v>
      </c>
      <c r="B134" s="406" t="s">
        <v>50</v>
      </c>
      <c r="C134" s="431">
        <v>4</v>
      </c>
      <c r="D134" s="325">
        <v>50</v>
      </c>
      <c r="E134" s="404">
        <f t="shared" si="3"/>
        <v>12.5</v>
      </c>
    </row>
    <row r="135" spans="1:7" hidden="1">
      <c r="A135" s="405" t="s">
        <v>69</v>
      </c>
      <c r="B135" s="406" t="s">
        <v>10</v>
      </c>
      <c r="C135" s="431">
        <v>6</v>
      </c>
      <c r="D135" s="325">
        <v>65</v>
      </c>
      <c r="E135" s="404">
        <f t="shared" si="3"/>
        <v>10.833333333333334</v>
      </c>
      <c r="G135" s="360"/>
    </row>
    <row r="136" spans="1:7" hidden="1">
      <c r="A136" s="405" t="s">
        <v>63</v>
      </c>
      <c r="B136" s="406" t="s">
        <v>51</v>
      </c>
      <c r="C136" s="431">
        <v>2</v>
      </c>
      <c r="D136" s="325">
        <v>15</v>
      </c>
      <c r="E136" s="404">
        <f t="shared" si="3"/>
        <v>7.5</v>
      </c>
      <c r="G136" s="360"/>
    </row>
    <row r="137" spans="1:7" hidden="1">
      <c r="A137" s="405" t="s">
        <v>200</v>
      </c>
      <c r="B137" s="406" t="s">
        <v>126</v>
      </c>
      <c r="C137" s="431">
        <v>1</v>
      </c>
      <c r="D137" s="325">
        <v>50</v>
      </c>
      <c r="E137" s="408">
        <f t="shared" ref="E137:E138" si="4">C137*D137</f>
        <v>50</v>
      </c>
      <c r="G137" s="360"/>
    </row>
    <row r="138" spans="1:7" ht="13.8" hidden="1" thickBot="1">
      <c r="A138" s="405" t="s">
        <v>5</v>
      </c>
      <c r="B138" s="406" t="s">
        <v>6</v>
      </c>
      <c r="C138" s="432">
        <f>E38+E39</f>
        <v>0</v>
      </c>
      <c r="D138" s="408">
        <f>+SUM(E131:E137)</f>
        <v>111.5</v>
      </c>
      <c r="E138" s="408">
        <f t="shared" si="4"/>
        <v>0</v>
      </c>
      <c r="G138" s="360"/>
    </row>
    <row r="139" spans="1:7" ht="13.8" hidden="1" thickBot="1">
      <c r="D139" s="413" t="s">
        <v>197</v>
      </c>
      <c r="E139" s="420">
        <f>$B$46</f>
        <v>0</v>
      </c>
      <c r="F139" s="124">
        <f>E138*E139</f>
        <v>0</v>
      </c>
      <c r="G139" s="360"/>
    </row>
    <row r="140" spans="1:7" ht="11.25" hidden="1" customHeight="1" thickBot="1">
      <c r="G140" s="360"/>
    </row>
    <row r="141" spans="1:7" ht="13.8" hidden="1" thickBot="1">
      <c r="A141" s="428" t="s">
        <v>202</v>
      </c>
      <c r="B141" s="433"/>
      <c r="C141" s="433"/>
      <c r="D141" s="434"/>
      <c r="E141" s="435"/>
      <c r="F141" s="21">
        <f>+F126+F139</f>
        <v>0</v>
      </c>
      <c r="G141" s="360"/>
    </row>
    <row r="142" spans="1:7" ht="11.25" hidden="1" customHeight="1">
      <c r="G142" s="360"/>
    </row>
    <row r="143" spans="1:7" hidden="1">
      <c r="A143" s="359" t="s">
        <v>56</v>
      </c>
      <c r="G143" s="360"/>
    </row>
    <row r="144" spans="1:7" ht="11.25" hidden="1" customHeight="1">
      <c r="B144" s="107"/>
      <c r="G144" s="360"/>
    </row>
    <row r="145" spans="1:10" hidden="1">
      <c r="A145" s="360" t="s">
        <v>412</v>
      </c>
      <c r="G145" s="360"/>
    </row>
    <row r="146" spans="1:10" ht="11.25" hidden="1" customHeight="1">
      <c r="G146" s="360"/>
    </row>
    <row r="147" spans="1:10" ht="13.8" hidden="1" thickBot="1">
      <c r="A147" s="107" t="s">
        <v>48</v>
      </c>
      <c r="G147" s="360"/>
    </row>
    <row r="148" spans="1:10" ht="13.8" hidden="1" thickBot="1">
      <c r="A148" s="400" t="s">
        <v>64</v>
      </c>
      <c r="B148" s="401" t="s">
        <v>65</v>
      </c>
      <c r="C148" s="401" t="s">
        <v>42</v>
      </c>
      <c r="D148" s="62" t="s">
        <v>237</v>
      </c>
      <c r="E148" s="62" t="s">
        <v>66</v>
      </c>
      <c r="F148" s="63" t="s">
        <v>67</v>
      </c>
      <c r="G148" s="360"/>
    </row>
    <row r="149" spans="1:10" hidden="1">
      <c r="A149" s="402" t="s">
        <v>109</v>
      </c>
      <c r="B149" s="403" t="s">
        <v>10</v>
      </c>
      <c r="C149" s="436">
        <v>1</v>
      </c>
      <c r="D149" s="325">
        <v>488376</v>
      </c>
      <c r="E149" s="404">
        <f>C149*D149</f>
        <v>488376</v>
      </c>
      <c r="G149" s="360"/>
    </row>
    <row r="150" spans="1:10" hidden="1">
      <c r="A150" s="405" t="s">
        <v>106</v>
      </c>
      <c r="B150" s="406" t="s">
        <v>107</v>
      </c>
      <c r="C150" s="412">
        <v>15</v>
      </c>
      <c r="D150" s="407"/>
      <c r="E150" s="408"/>
      <c r="G150" s="360"/>
    </row>
    <row r="151" spans="1:10" hidden="1">
      <c r="A151" s="405" t="s">
        <v>215</v>
      </c>
      <c r="B151" s="406" t="s">
        <v>107</v>
      </c>
      <c r="C151" s="412">
        <v>10</v>
      </c>
      <c r="D151" s="408"/>
      <c r="E151" s="408"/>
      <c r="F151" s="437"/>
      <c r="I151" s="438"/>
      <c r="J151" s="438"/>
    </row>
    <row r="152" spans="1:10" hidden="1">
      <c r="A152" s="405" t="s">
        <v>108</v>
      </c>
      <c r="B152" s="406" t="s">
        <v>2</v>
      </c>
      <c r="C152" s="411">
        <f>'[3]7. Depreciação'!B17</f>
        <v>70.73</v>
      </c>
      <c r="D152" s="408">
        <f>E149</f>
        <v>488376</v>
      </c>
      <c r="E152" s="408">
        <f>C152*D152/100</f>
        <v>345428.34480000002</v>
      </c>
    </row>
    <row r="153" spans="1:10" ht="13.8" hidden="1" thickBot="1">
      <c r="A153" s="439" t="s">
        <v>413</v>
      </c>
      <c r="B153" s="440" t="s">
        <v>8</v>
      </c>
      <c r="C153" s="440">
        <f>C150*12</f>
        <v>180</v>
      </c>
      <c r="D153" s="281">
        <f>IF(C151&lt;=C150,E152,0)</f>
        <v>345428.34480000002</v>
      </c>
      <c r="E153" s="281">
        <f>IFERROR(D153/C153,0)</f>
        <v>1919.04636</v>
      </c>
    </row>
    <row r="154" spans="1:10" ht="13.8" hidden="1" thickTop="1">
      <c r="A154" s="402" t="s">
        <v>414</v>
      </c>
      <c r="B154" s="403" t="s">
        <v>10</v>
      </c>
      <c r="C154" s="403">
        <f>C149</f>
        <v>1</v>
      </c>
      <c r="D154" s="325">
        <v>203600</v>
      </c>
      <c r="E154" s="404">
        <f>C154*D154</f>
        <v>203600</v>
      </c>
      <c r="G154" s="360"/>
    </row>
    <row r="155" spans="1:10" hidden="1">
      <c r="A155" s="405" t="s">
        <v>415</v>
      </c>
      <c r="B155" s="406" t="s">
        <v>107</v>
      </c>
      <c r="C155" s="412">
        <v>15</v>
      </c>
      <c r="D155" s="408"/>
      <c r="E155" s="408"/>
    </row>
    <row r="156" spans="1:10" hidden="1">
      <c r="A156" s="405" t="s">
        <v>341</v>
      </c>
      <c r="B156" s="406" t="s">
        <v>107</v>
      </c>
      <c r="C156" s="412">
        <v>10</v>
      </c>
      <c r="D156" s="408"/>
      <c r="E156" s="408"/>
      <c r="F156" s="437"/>
      <c r="I156" s="438"/>
      <c r="J156" s="438"/>
    </row>
    <row r="157" spans="1:10" hidden="1">
      <c r="A157" s="405" t="s">
        <v>342</v>
      </c>
      <c r="B157" s="406" t="s">
        <v>2</v>
      </c>
      <c r="C157" s="441">
        <f>'[3]7. Depreciação'!B17</f>
        <v>70.73</v>
      </c>
      <c r="D157" s="408">
        <f>E154</f>
        <v>203600</v>
      </c>
      <c r="E157" s="408">
        <f>C157*D157/100</f>
        <v>144006.28</v>
      </c>
    </row>
    <row r="158" spans="1:10" hidden="1">
      <c r="A158" s="418" t="s">
        <v>343</v>
      </c>
      <c r="B158" s="442" t="s">
        <v>8</v>
      </c>
      <c r="C158" s="442">
        <f>C155*12</f>
        <v>180</v>
      </c>
      <c r="D158" s="105">
        <f>IF(C156&lt;=C155,E157,0)</f>
        <v>144006.28</v>
      </c>
      <c r="E158" s="105">
        <f>IFERROR(D158/C158,0)</f>
        <v>800.03488888888887</v>
      </c>
    </row>
    <row r="159" spans="1:10" hidden="1">
      <c r="A159" s="409" t="s">
        <v>262</v>
      </c>
      <c r="B159" s="410"/>
      <c r="C159" s="410"/>
      <c r="D159" s="118"/>
      <c r="E159" s="119">
        <f>E153+E158</f>
        <v>2719.0812488888887</v>
      </c>
    </row>
    <row r="160" spans="1:10" ht="13.8" hidden="1" thickBot="1">
      <c r="A160" s="418" t="s">
        <v>263</v>
      </c>
      <c r="B160" s="442" t="s">
        <v>10</v>
      </c>
      <c r="C160" s="412">
        <v>0</v>
      </c>
      <c r="D160" s="105">
        <f>E159</f>
        <v>2719.0812488888887</v>
      </c>
      <c r="E160" s="119">
        <f>C160*D160</f>
        <v>0</v>
      </c>
    </row>
    <row r="161" spans="1:10" ht="13.8" hidden="1" thickBot="1">
      <c r="A161" s="443"/>
      <c r="B161" s="443"/>
      <c r="C161" s="443"/>
      <c r="D161" s="413" t="s">
        <v>197</v>
      </c>
      <c r="E161" s="420">
        <f>E81</f>
        <v>0</v>
      </c>
      <c r="F161" s="21">
        <f>E160*E161</f>
        <v>0</v>
      </c>
    </row>
    <row r="162" spans="1:10" ht="11.25" hidden="1" customHeight="1"/>
    <row r="163" spans="1:10" ht="13.8" hidden="1" thickBot="1">
      <c r="A163" s="107" t="s">
        <v>114</v>
      </c>
    </row>
    <row r="164" spans="1:10" ht="13.8" hidden="1" thickBot="1">
      <c r="A164" s="444" t="s">
        <v>64</v>
      </c>
      <c r="B164" s="445" t="s">
        <v>65</v>
      </c>
      <c r="C164" s="445" t="s">
        <v>42</v>
      </c>
      <c r="D164" s="62" t="s">
        <v>237</v>
      </c>
      <c r="E164" s="111" t="s">
        <v>66</v>
      </c>
      <c r="F164" s="63" t="s">
        <v>67</v>
      </c>
      <c r="I164" s="438"/>
      <c r="J164" s="438"/>
    </row>
    <row r="165" spans="1:10" hidden="1">
      <c r="A165" s="405" t="s">
        <v>112</v>
      </c>
      <c r="B165" s="406" t="s">
        <v>10</v>
      </c>
      <c r="C165" s="436">
        <v>1</v>
      </c>
      <c r="D165" s="408">
        <f>D149</f>
        <v>488376</v>
      </c>
      <c r="E165" s="408">
        <f>C165*D165</f>
        <v>488376</v>
      </c>
      <c r="F165" s="437"/>
      <c r="I165" s="438"/>
      <c r="J165" s="438"/>
    </row>
    <row r="166" spans="1:10" hidden="1">
      <c r="A166" s="405" t="s">
        <v>218</v>
      </c>
      <c r="B166" s="406" t="s">
        <v>2</v>
      </c>
      <c r="C166" s="412">
        <v>6.5</v>
      </c>
      <c r="D166" s="408"/>
      <c r="E166" s="408"/>
      <c r="F166" s="437"/>
      <c r="I166" s="438"/>
      <c r="J166" s="438"/>
    </row>
    <row r="167" spans="1:10" hidden="1">
      <c r="A167" s="405" t="s">
        <v>216</v>
      </c>
      <c r="B167" s="406" t="s">
        <v>35</v>
      </c>
      <c r="C167" s="446">
        <f>IFERROR(IF(C151&lt;=C150,E149-(C152/(100*C150)*C151)*E149,E149-E152),0)</f>
        <v>258090.4368</v>
      </c>
      <c r="D167" s="408"/>
      <c r="E167" s="408"/>
      <c r="F167" s="437"/>
      <c r="I167" s="438"/>
      <c r="J167" s="438"/>
    </row>
    <row r="168" spans="1:10" hidden="1">
      <c r="A168" s="405" t="s">
        <v>117</v>
      </c>
      <c r="B168" s="406" t="s">
        <v>35</v>
      </c>
      <c r="C168" s="407">
        <f>IFERROR(IF(C151&gt;=C150,C167,((((C167)-(E149-E152))*(((C150-C151)+1)/(2*(C150-C151))))+(E149-E152))),0)</f>
        <v>212033.32415999999</v>
      </c>
      <c r="D168" s="408"/>
      <c r="E168" s="408"/>
      <c r="F168" s="437"/>
      <c r="I168" s="438"/>
      <c r="J168" s="438"/>
    </row>
    <row r="169" spans="1:10" ht="13.8" hidden="1" thickBot="1">
      <c r="A169" s="439" t="s">
        <v>118</v>
      </c>
      <c r="B169" s="440" t="s">
        <v>35</v>
      </c>
      <c r="C169" s="440"/>
      <c r="D169" s="282">
        <f>C166*C168/12/100</f>
        <v>1148.5138391999999</v>
      </c>
      <c r="E169" s="281">
        <f>D169</f>
        <v>1148.5138391999999</v>
      </c>
      <c r="F169" s="437"/>
      <c r="I169" s="438"/>
      <c r="J169" s="438"/>
    </row>
    <row r="170" spans="1:10" ht="13.8" hidden="1" thickTop="1">
      <c r="A170" s="402" t="s">
        <v>113</v>
      </c>
      <c r="B170" s="403" t="s">
        <v>10</v>
      </c>
      <c r="C170" s="403">
        <f>C154</f>
        <v>1</v>
      </c>
      <c r="D170" s="404">
        <f>D154</f>
        <v>203600</v>
      </c>
      <c r="E170" s="404">
        <f>C170*D170</f>
        <v>203600</v>
      </c>
      <c r="F170" s="437"/>
      <c r="I170" s="438"/>
      <c r="J170" s="438"/>
    </row>
    <row r="171" spans="1:10" hidden="1">
      <c r="A171" s="405" t="s">
        <v>218</v>
      </c>
      <c r="B171" s="406" t="s">
        <v>2</v>
      </c>
      <c r="C171" s="447">
        <f>C166</f>
        <v>6.5</v>
      </c>
      <c r="D171" s="408"/>
      <c r="E171" s="408"/>
      <c r="F171" s="437"/>
      <c r="I171" s="438"/>
      <c r="J171" s="438"/>
    </row>
    <row r="172" spans="1:10" hidden="1">
      <c r="A172" s="405" t="s">
        <v>217</v>
      </c>
      <c r="B172" s="406" t="s">
        <v>35</v>
      </c>
      <c r="C172" s="446">
        <f>IFERROR(IF(C156&lt;=C155,E154-(C157/(100*C155)*C156)*E154,E154-E157),0)</f>
        <v>107595.81333333332</v>
      </c>
      <c r="D172" s="408"/>
      <c r="E172" s="408"/>
      <c r="F172" s="437"/>
      <c r="I172" s="438"/>
      <c r="J172" s="438"/>
    </row>
    <row r="173" spans="1:10" hidden="1">
      <c r="A173" s="405" t="s">
        <v>119</v>
      </c>
      <c r="B173" s="406" t="s">
        <v>35</v>
      </c>
      <c r="C173" s="407">
        <f>IFERROR(IF(C156&gt;=C155,C172,((((C172)-(E154-E157))*(((C155-C156)+1)/(2*(C155-C156))))+(E154-E157))),0)</f>
        <v>88394.975999999995</v>
      </c>
      <c r="D173" s="408"/>
      <c r="E173" s="408"/>
      <c r="F173" s="437"/>
      <c r="I173" s="438"/>
      <c r="J173" s="438"/>
    </row>
    <row r="174" spans="1:10" hidden="1">
      <c r="A174" s="418" t="s">
        <v>116</v>
      </c>
      <c r="B174" s="442" t="s">
        <v>35</v>
      </c>
      <c r="C174" s="442"/>
      <c r="D174" s="113">
        <f>C171*C173/12/100</f>
        <v>478.80611999999996</v>
      </c>
      <c r="E174" s="105">
        <f>D174</f>
        <v>478.80611999999996</v>
      </c>
      <c r="F174" s="437"/>
      <c r="I174" s="438"/>
      <c r="J174" s="438"/>
    </row>
    <row r="175" spans="1:10" hidden="1">
      <c r="A175" s="409" t="s">
        <v>262</v>
      </c>
      <c r="B175" s="410"/>
      <c r="C175" s="410"/>
      <c r="D175" s="118"/>
      <c r="E175" s="119">
        <f>E169+E174</f>
        <v>1627.3199591999999</v>
      </c>
      <c r="F175" s="437"/>
      <c r="I175" s="438"/>
      <c r="J175" s="438"/>
    </row>
    <row r="176" spans="1:10" ht="13.8" hidden="1" thickBot="1">
      <c r="A176" s="418" t="s">
        <v>263</v>
      </c>
      <c r="B176" s="442" t="s">
        <v>10</v>
      </c>
      <c r="C176" s="447">
        <f>C160</f>
        <v>0</v>
      </c>
      <c r="D176" s="105">
        <f>E175</f>
        <v>1627.3199591999999</v>
      </c>
      <c r="E176" s="119">
        <f>C176*D176</f>
        <v>0</v>
      </c>
      <c r="F176" s="437"/>
      <c r="I176" s="438"/>
      <c r="J176" s="438"/>
    </row>
    <row r="177" spans="1:10" ht="13.8" hidden="1" thickBot="1">
      <c r="C177" s="448"/>
      <c r="D177" s="413" t="s">
        <v>197</v>
      </c>
      <c r="E177" s="420">
        <f>E81</f>
        <v>0</v>
      </c>
      <c r="F177" s="21">
        <f>E176*E177</f>
        <v>0</v>
      </c>
      <c r="I177" s="438"/>
      <c r="J177" s="438"/>
    </row>
    <row r="178" spans="1:10" ht="11.25" hidden="1" customHeight="1">
      <c r="I178" s="438"/>
      <c r="J178" s="438"/>
    </row>
    <row r="179" spans="1:10" ht="13.8" hidden="1" thickBot="1">
      <c r="A179" s="360" t="s">
        <v>53</v>
      </c>
      <c r="I179" s="438"/>
      <c r="J179" s="438"/>
    </row>
    <row r="180" spans="1:10" ht="13.8" hidden="1" thickBot="1">
      <c r="A180" s="400" t="s">
        <v>64</v>
      </c>
      <c r="B180" s="401" t="s">
        <v>65</v>
      </c>
      <c r="C180" s="401" t="s">
        <v>42</v>
      </c>
      <c r="D180" s="62" t="s">
        <v>237</v>
      </c>
      <c r="E180" s="62" t="s">
        <v>66</v>
      </c>
      <c r="F180" s="63" t="s">
        <v>67</v>
      </c>
      <c r="I180" s="438"/>
      <c r="J180" s="438"/>
    </row>
    <row r="181" spans="1:10" hidden="1">
      <c r="A181" s="402" t="s">
        <v>12</v>
      </c>
      <c r="B181" s="403" t="s">
        <v>10</v>
      </c>
      <c r="C181" s="404">
        <f>C160</f>
        <v>0</v>
      </c>
      <c r="D181" s="404">
        <f>0.01*C167</f>
        <v>2580.904368</v>
      </c>
      <c r="E181" s="404">
        <f>C181*D181</f>
        <v>0</v>
      </c>
      <c r="I181" s="438"/>
      <c r="J181" s="438"/>
    </row>
    <row r="182" spans="1:10" hidden="1">
      <c r="A182" s="405" t="s">
        <v>196</v>
      </c>
      <c r="B182" s="406" t="s">
        <v>10</v>
      </c>
      <c r="C182" s="404">
        <f>C160</f>
        <v>0</v>
      </c>
      <c r="D182" s="449">
        <v>150</v>
      </c>
      <c r="E182" s="408">
        <f>C182*D182</f>
        <v>0</v>
      </c>
      <c r="I182" s="438"/>
      <c r="J182" s="438"/>
    </row>
    <row r="183" spans="1:10" hidden="1">
      <c r="A183" s="405" t="s">
        <v>13</v>
      </c>
      <c r="B183" s="406" t="s">
        <v>10</v>
      </c>
      <c r="C183" s="404">
        <f>C160</f>
        <v>0</v>
      </c>
      <c r="D183" s="449">
        <v>5400</v>
      </c>
      <c r="E183" s="408">
        <f>C183*D183</f>
        <v>0</v>
      </c>
      <c r="F183" s="31"/>
      <c r="I183" s="438"/>
      <c r="J183" s="438"/>
    </row>
    <row r="184" spans="1:10" ht="13.8" hidden="1" thickBot="1">
      <c r="A184" s="418" t="s">
        <v>14</v>
      </c>
      <c r="B184" s="442" t="s">
        <v>8</v>
      </c>
      <c r="C184" s="442">
        <v>12</v>
      </c>
      <c r="D184" s="105">
        <f>SUM(E181:E183)</f>
        <v>0</v>
      </c>
      <c r="E184" s="105">
        <f>D184/C184</f>
        <v>0</v>
      </c>
      <c r="I184" s="438"/>
      <c r="J184" s="438"/>
    </row>
    <row r="185" spans="1:10" ht="13.8" hidden="1" thickBot="1">
      <c r="D185" s="413" t="s">
        <v>197</v>
      </c>
      <c r="E185" s="420">
        <f>E81</f>
        <v>0</v>
      </c>
      <c r="F185" s="124">
        <f>E184*E185</f>
        <v>0</v>
      </c>
      <c r="I185" s="438"/>
      <c r="J185" s="438"/>
    </row>
    <row r="186" spans="1:10" ht="11.25" hidden="1" customHeight="1">
      <c r="I186" s="438"/>
      <c r="J186" s="438"/>
    </row>
    <row r="187" spans="1:10" hidden="1">
      <c r="A187" s="360" t="s">
        <v>54</v>
      </c>
      <c r="B187" s="450"/>
      <c r="I187" s="438"/>
      <c r="J187" s="438"/>
    </row>
    <row r="188" spans="1:10" hidden="1">
      <c r="B188" s="450"/>
      <c r="I188" s="438"/>
      <c r="J188" s="438"/>
    </row>
    <row r="189" spans="1:10" hidden="1">
      <c r="A189" s="418" t="s">
        <v>121</v>
      </c>
      <c r="B189" s="451">
        <v>0</v>
      </c>
      <c r="I189" s="438"/>
      <c r="J189" s="438"/>
    </row>
    <row r="190" spans="1:10" ht="13.8" hidden="1" thickBot="1">
      <c r="B190" s="450"/>
      <c r="I190" s="438"/>
      <c r="J190" s="438"/>
    </row>
    <row r="191" spans="1:10" ht="13.8" hidden="1" thickBot="1">
      <c r="A191" s="400" t="s">
        <v>64</v>
      </c>
      <c r="B191" s="401" t="s">
        <v>65</v>
      </c>
      <c r="C191" s="401" t="s">
        <v>261</v>
      </c>
      <c r="D191" s="62" t="s">
        <v>237</v>
      </c>
      <c r="E191" s="62" t="s">
        <v>66</v>
      </c>
      <c r="F191" s="63" t="s">
        <v>67</v>
      </c>
      <c r="I191" s="438"/>
      <c r="J191" s="438"/>
    </row>
    <row r="192" spans="1:10" hidden="1">
      <c r="A192" s="402" t="s">
        <v>15</v>
      </c>
      <c r="B192" s="403" t="s">
        <v>16</v>
      </c>
      <c r="C192" s="452">
        <v>2</v>
      </c>
      <c r="D192" s="453">
        <v>3.49</v>
      </c>
      <c r="E192" s="404"/>
      <c r="I192" s="438"/>
      <c r="J192" s="438"/>
    </row>
    <row r="193" spans="1:10" hidden="1">
      <c r="A193" s="405" t="s">
        <v>17</v>
      </c>
      <c r="B193" s="406" t="s">
        <v>18</v>
      </c>
      <c r="C193" s="422">
        <f>B189</f>
        <v>0</v>
      </c>
      <c r="D193" s="454">
        <f>IFERROR(+D192/C192,"-")</f>
        <v>1.7450000000000001</v>
      </c>
      <c r="E193" s="408">
        <f>IFERROR(C193*D193,"-")</f>
        <v>0</v>
      </c>
      <c r="I193" s="438"/>
      <c r="J193" s="438"/>
    </row>
    <row r="194" spans="1:10" hidden="1">
      <c r="A194" s="405" t="s">
        <v>238</v>
      </c>
      <c r="B194" s="406" t="s">
        <v>19</v>
      </c>
      <c r="C194" s="455">
        <v>5</v>
      </c>
      <c r="D194" s="449">
        <v>30</v>
      </c>
      <c r="E194" s="408"/>
      <c r="G194" s="456"/>
      <c r="H194" s="457"/>
      <c r="I194" s="438"/>
      <c r="J194" s="438"/>
    </row>
    <row r="195" spans="1:10" hidden="1">
      <c r="A195" s="405" t="s">
        <v>20</v>
      </c>
      <c r="B195" s="406" t="s">
        <v>18</v>
      </c>
      <c r="C195" s="422">
        <f>C193</f>
        <v>0</v>
      </c>
      <c r="D195" s="458">
        <f>+C194*D194/1000</f>
        <v>0.15</v>
      </c>
      <c r="E195" s="408">
        <f>C195*D195</f>
        <v>0</v>
      </c>
      <c r="G195" s="456"/>
      <c r="H195" s="457"/>
      <c r="I195" s="438"/>
      <c r="J195" s="438"/>
    </row>
    <row r="196" spans="1:10" hidden="1">
      <c r="A196" s="405" t="s">
        <v>239</v>
      </c>
      <c r="B196" s="406" t="s">
        <v>19</v>
      </c>
      <c r="C196" s="455">
        <v>2</v>
      </c>
      <c r="D196" s="449">
        <v>19</v>
      </c>
      <c r="E196" s="408"/>
      <c r="G196" s="456"/>
      <c r="H196" s="457"/>
      <c r="I196" s="438"/>
      <c r="J196" s="438"/>
    </row>
    <row r="197" spans="1:10" hidden="1">
      <c r="A197" s="405" t="s">
        <v>21</v>
      </c>
      <c r="B197" s="406" t="s">
        <v>18</v>
      </c>
      <c r="C197" s="422">
        <f>C193</f>
        <v>0</v>
      </c>
      <c r="D197" s="458">
        <f>+C196*D196/1000</f>
        <v>3.7999999999999999E-2</v>
      </c>
      <c r="E197" s="408">
        <f>C197*D197</f>
        <v>0</v>
      </c>
      <c r="G197" s="456"/>
      <c r="H197" s="457"/>
      <c r="I197" s="438"/>
      <c r="J197" s="438"/>
    </row>
    <row r="198" spans="1:10" hidden="1">
      <c r="A198" s="405" t="s">
        <v>240</v>
      </c>
      <c r="B198" s="406" t="s">
        <v>19</v>
      </c>
      <c r="C198" s="455">
        <v>2</v>
      </c>
      <c r="D198" s="449">
        <v>10</v>
      </c>
      <c r="E198" s="408"/>
      <c r="G198" s="456"/>
      <c r="H198" s="457"/>
      <c r="I198" s="438"/>
      <c r="J198" s="438"/>
    </row>
    <row r="199" spans="1:10" hidden="1">
      <c r="A199" s="405" t="s">
        <v>22</v>
      </c>
      <c r="B199" s="406" t="s">
        <v>18</v>
      </c>
      <c r="C199" s="422">
        <f>C193</f>
        <v>0</v>
      </c>
      <c r="D199" s="458">
        <f>+C198*D198/1000</f>
        <v>0.02</v>
      </c>
      <c r="E199" s="408">
        <f>C199*D199</f>
        <v>0</v>
      </c>
      <c r="G199" s="456"/>
      <c r="H199" s="457"/>
      <c r="I199" s="438"/>
      <c r="J199" s="438"/>
    </row>
    <row r="200" spans="1:10" hidden="1">
      <c r="A200" s="405" t="s">
        <v>23</v>
      </c>
      <c r="B200" s="406" t="s">
        <v>24</v>
      </c>
      <c r="C200" s="455">
        <v>2</v>
      </c>
      <c r="D200" s="449">
        <v>10</v>
      </c>
      <c r="E200" s="408"/>
      <c r="G200" s="456"/>
      <c r="H200" s="457"/>
      <c r="I200" s="438"/>
      <c r="J200" s="438"/>
    </row>
    <row r="201" spans="1:10" hidden="1">
      <c r="A201" s="405" t="s">
        <v>25</v>
      </c>
      <c r="B201" s="406" t="s">
        <v>18</v>
      </c>
      <c r="C201" s="422">
        <f>C193</f>
        <v>0</v>
      </c>
      <c r="D201" s="458">
        <f>+C200*D200/1000</f>
        <v>0.02</v>
      </c>
      <c r="E201" s="408">
        <f>C201*D201</f>
        <v>0</v>
      </c>
      <c r="G201" s="456"/>
      <c r="H201" s="457"/>
      <c r="I201" s="438"/>
      <c r="J201" s="438"/>
    </row>
    <row r="202" spans="1:10" ht="13.8" hidden="1" thickBot="1">
      <c r="A202" s="418" t="s">
        <v>260</v>
      </c>
      <c r="B202" s="442" t="s">
        <v>122</v>
      </c>
      <c r="C202" s="272"/>
      <c r="D202" s="273">
        <f>IFERROR(D193+D195+D197+D199+D201,0)</f>
        <v>1.9730000000000001</v>
      </c>
      <c r="E202" s="408"/>
      <c r="G202" s="456"/>
      <c r="H202" s="457"/>
      <c r="I202" s="438"/>
      <c r="J202" s="438"/>
    </row>
    <row r="203" spans="1:10" ht="13.8" hidden="1" thickBot="1">
      <c r="F203" s="21">
        <f>SUM(E192:E201)</f>
        <v>0</v>
      </c>
      <c r="I203" s="438"/>
      <c r="J203" s="438"/>
    </row>
    <row r="204" spans="1:10" ht="11.25" hidden="1" customHeight="1">
      <c r="I204" s="438"/>
      <c r="J204" s="438"/>
    </row>
    <row r="205" spans="1:10" ht="13.8" hidden="1" thickBot="1">
      <c r="A205" s="360" t="s">
        <v>55</v>
      </c>
      <c r="I205" s="438"/>
      <c r="J205" s="438"/>
    </row>
    <row r="206" spans="1:10" ht="13.8" hidden="1" thickBot="1">
      <c r="A206" s="400" t="s">
        <v>64</v>
      </c>
      <c r="B206" s="401" t="s">
        <v>65</v>
      </c>
      <c r="C206" s="401" t="s">
        <v>42</v>
      </c>
      <c r="D206" s="62" t="s">
        <v>237</v>
      </c>
      <c r="E206" s="62" t="s">
        <v>66</v>
      </c>
      <c r="F206" s="63" t="s">
        <v>67</v>
      </c>
      <c r="I206" s="438"/>
      <c r="J206" s="438"/>
    </row>
    <row r="207" spans="1:10" ht="13.8" hidden="1" thickBot="1">
      <c r="A207" s="402" t="s">
        <v>120</v>
      </c>
      <c r="B207" s="403" t="s">
        <v>122</v>
      </c>
      <c r="C207" s="422">
        <f>C193</f>
        <v>0</v>
      </c>
      <c r="D207" s="325">
        <v>0.79</v>
      </c>
      <c r="E207" s="404">
        <f>C207*D207</f>
        <v>0</v>
      </c>
      <c r="I207" s="438"/>
      <c r="J207" s="438"/>
    </row>
    <row r="208" spans="1:10" ht="13.8" hidden="1" thickBot="1">
      <c r="F208" s="21">
        <f>E207</f>
        <v>0</v>
      </c>
      <c r="I208" s="438"/>
      <c r="J208" s="438"/>
    </row>
    <row r="209" spans="1:10" ht="11.25" hidden="1" customHeight="1">
      <c r="I209" s="438"/>
      <c r="J209" s="438"/>
    </row>
    <row r="210" spans="1:10" ht="13.8" hidden="1" thickBot="1">
      <c r="A210" s="360" t="s">
        <v>62</v>
      </c>
      <c r="I210" s="438"/>
      <c r="J210" s="438"/>
    </row>
    <row r="211" spans="1:10" ht="13.8" hidden="1" thickBot="1">
      <c r="A211" s="400" t="s">
        <v>64</v>
      </c>
      <c r="B211" s="401" t="s">
        <v>65</v>
      </c>
      <c r="C211" s="401" t="s">
        <v>42</v>
      </c>
      <c r="D211" s="62" t="s">
        <v>237</v>
      </c>
      <c r="E211" s="62" t="s">
        <v>66</v>
      </c>
      <c r="F211" s="63" t="s">
        <v>67</v>
      </c>
      <c r="I211" s="438"/>
      <c r="J211" s="438"/>
    </row>
    <row r="212" spans="1:10" hidden="1">
      <c r="A212" s="402" t="s">
        <v>416</v>
      </c>
      <c r="B212" s="403" t="s">
        <v>10</v>
      </c>
      <c r="C212" s="459">
        <v>22</v>
      </c>
      <c r="D212" s="325">
        <v>1900</v>
      </c>
      <c r="E212" s="404">
        <f>C212*D212</f>
        <v>41800</v>
      </c>
      <c r="I212" s="438"/>
      <c r="J212" s="438"/>
    </row>
    <row r="213" spans="1:10" hidden="1">
      <c r="A213" s="402" t="s">
        <v>123</v>
      </c>
      <c r="B213" s="403" t="s">
        <v>10</v>
      </c>
      <c r="C213" s="459">
        <v>2</v>
      </c>
      <c r="D213" s="460"/>
      <c r="E213" s="404"/>
      <c r="I213" s="438"/>
      <c r="J213" s="438"/>
    </row>
    <row r="214" spans="1:10" hidden="1">
      <c r="A214" s="402" t="s">
        <v>72</v>
      </c>
      <c r="B214" s="403" t="s">
        <v>10</v>
      </c>
      <c r="C214" s="404">
        <f>C212*C213</f>
        <v>44</v>
      </c>
      <c r="D214" s="325">
        <v>550</v>
      </c>
      <c r="E214" s="404">
        <f>C214*D214</f>
        <v>24200</v>
      </c>
      <c r="I214" s="438"/>
      <c r="J214" s="438"/>
    </row>
    <row r="215" spans="1:10" hidden="1">
      <c r="A215" s="405" t="s">
        <v>98</v>
      </c>
      <c r="B215" s="406" t="s">
        <v>26</v>
      </c>
      <c r="C215" s="461">
        <v>90000</v>
      </c>
      <c r="D215" s="408">
        <f>E212+E214</f>
        <v>66000</v>
      </c>
      <c r="E215" s="408">
        <f>IFERROR(D215/C215,"-")</f>
        <v>0.73333333333333328</v>
      </c>
      <c r="I215" s="438"/>
      <c r="J215" s="438"/>
    </row>
    <row r="216" spans="1:10" ht="13.8" hidden="1" thickBot="1">
      <c r="A216" s="405" t="s">
        <v>57</v>
      </c>
      <c r="B216" s="406" t="s">
        <v>18</v>
      </c>
      <c r="C216" s="422">
        <f>B189</f>
        <v>0</v>
      </c>
      <c r="D216" s="408">
        <f>E215</f>
        <v>0.73333333333333328</v>
      </c>
      <c r="E216" s="408">
        <f>IFERROR(C216*D216,0)</f>
        <v>0</v>
      </c>
      <c r="I216" s="438"/>
      <c r="J216" s="438"/>
    </row>
    <row r="217" spans="1:10" ht="13.8" hidden="1" thickBot="1">
      <c r="C217" s="462"/>
      <c r="F217" s="21">
        <f>E216</f>
        <v>0</v>
      </c>
      <c r="I217" s="438"/>
      <c r="J217" s="438"/>
    </row>
    <row r="218" spans="1:10" ht="11.25" hidden="1" customHeight="1">
      <c r="I218" s="438"/>
      <c r="J218" s="438"/>
    </row>
    <row r="219" spans="1:10" ht="11.25" hidden="1" customHeight="1" thickBot="1">
      <c r="G219" s="360"/>
    </row>
    <row r="220" spans="1:10" ht="13.8" hidden="1" thickBot="1">
      <c r="A220" s="428" t="s">
        <v>230</v>
      </c>
      <c r="B220" s="429"/>
      <c r="C220" s="429"/>
      <c r="D220" s="26"/>
      <c r="E220" s="27"/>
      <c r="F220" s="21">
        <f>+SUM(F149:F219)</f>
        <v>0</v>
      </c>
      <c r="G220" s="360"/>
    </row>
    <row r="221" spans="1:10" ht="11.25" hidden="1" customHeight="1">
      <c r="G221" s="360"/>
    </row>
    <row r="222" spans="1:10">
      <c r="A222" s="398" t="s">
        <v>417</v>
      </c>
      <c r="B222" s="398"/>
      <c r="C222" s="398"/>
      <c r="D222" s="35"/>
      <c r="E222" s="35"/>
      <c r="F222" s="33"/>
      <c r="G222" s="360"/>
    </row>
    <row r="223" spans="1:10" ht="11.25" customHeight="1" thickBot="1">
      <c r="G223" s="360"/>
    </row>
    <row r="224" spans="1:10" ht="13.8" thickBot="1">
      <c r="A224" s="400" t="s">
        <v>64</v>
      </c>
      <c r="B224" s="401" t="s">
        <v>65</v>
      </c>
      <c r="C224" s="401" t="s">
        <v>42</v>
      </c>
      <c r="D224" s="62" t="s">
        <v>237</v>
      </c>
      <c r="E224" s="62" t="s">
        <v>66</v>
      </c>
      <c r="F224" s="63" t="s">
        <v>67</v>
      </c>
      <c r="G224" s="360"/>
    </row>
    <row r="225" spans="1:7" ht="13.8" thickBot="1">
      <c r="A225" s="405" t="s">
        <v>418</v>
      </c>
      <c r="B225" s="406" t="s">
        <v>419</v>
      </c>
      <c r="C225" s="463">
        <f>Ton!D7</f>
        <v>150.07499999999999</v>
      </c>
      <c r="D225" s="325">
        <v>93.72</v>
      </c>
      <c r="E225" s="408">
        <f>C225*D225</f>
        <v>14065.028999999999</v>
      </c>
      <c r="F225" s="464"/>
      <c r="G225" s="360"/>
    </row>
    <row r="226" spans="1:7" ht="13.8" thickBot="1">
      <c r="A226" s="398"/>
      <c r="B226" s="398"/>
      <c r="C226" s="398"/>
      <c r="D226" s="398"/>
      <c r="E226" s="35"/>
      <c r="F226" s="21">
        <f>SUM(E225:E225)</f>
        <v>14065.028999999999</v>
      </c>
      <c r="G226" s="360"/>
    </row>
    <row r="227" spans="1:7" ht="11.25" customHeight="1" thickBot="1">
      <c r="G227" s="360"/>
    </row>
    <row r="228" spans="1:7" ht="13.8" thickBot="1">
      <c r="A228" s="428" t="s">
        <v>420</v>
      </c>
      <c r="B228" s="429"/>
      <c r="C228" s="429"/>
      <c r="D228" s="26"/>
      <c r="E228" s="27"/>
      <c r="F228" s="21">
        <f>+F226</f>
        <v>14065.028999999999</v>
      </c>
      <c r="G228" s="360"/>
    </row>
    <row r="229" spans="1:7" ht="11.25" customHeight="1">
      <c r="G229" s="360"/>
    </row>
    <row r="230" spans="1:7" hidden="1">
      <c r="A230" s="398" t="s">
        <v>77</v>
      </c>
      <c r="B230" s="398"/>
      <c r="C230" s="398"/>
      <c r="D230" s="35"/>
      <c r="E230" s="35"/>
      <c r="F230" s="33"/>
    </row>
    <row r="231" spans="1:7" ht="11.25" hidden="1" customHeight="1" thickBot="1"/>
    <row r="232" spans="1:7" ht="13.8" hidden="1" thickBot="1">
      <c r="A232" s="400" t="s">
        <v>64</v>
      </c>
      <c r="B232" s="401" t="s">
        <v>65</v>
      </c>
      <c r="C232" s="401" t="s">
        <v>42</v>
      </c>
      <c r="D232" s="62" t="s">
        <v>237</v>
      </c>
      <c r="E232" s="62" t="s">
        <v>66</v>
      </c>
      <c r="F232" s="63" t="s">
        <v>67</v>
      </c>
    </row>
    <row r="233" spans="1:7" hidden="1">
      <c r="A233" s="405" t="s">
        <v>228</v>
      </c>
      <c r="B233" s="465" t="s">
        <v>59</v>
      </c>
      <c r="C233" s="432">
        <f>C149</f>
        <v>1</v>
      </c>
      <c r="D233" s="449"/>
      <c r="E233" s="408">
        <f>+D233*C233</f>
        <v>0</v>
      </c>
      <c r="F233" s="464"/>
    </row>
    <row r="234" spans="1:7" hidden="1">
      <c r="A234" s="405" t="s">
        <v>61</v>
      </c>
      <c r="B234" s="465" t="s">
        <v>8</v>
      </c>
      <c r="C234" s="466">
        <v>60</v>
      </c>
      <c r="D234" s="80">
        <f>SUM(E233:E233)</f>
        <v>0</v>
      </c>
      <c r="E234" s="80">
        <f>+D234/C234</f>
        <v>0</v>
      </c>
      <c r="F234" s="464"/>
    </row>
    <row r="235" spans="1:7" hidden="1">
      <c r="A235" s="405" t="s">
        <v>229</v>
      </c>
      <c r="B235" s="406" t="s">
        <v>10</v>
      </c>
      <c r="C235" s="432">
        <f>+C233</f>
        <v>1</v>
      </c>
      <c r="D235" s="449"/>
      <c r="E235" s="408">
        <f>C235*D235</f>
        <v>0</v>
      </c>
      <c r="F235" s="464"/>
    </row>
    <row r="236" spans="1:7" ht="13.8" hidden="1" thickBot="1">
      <c r="A236" s="405" t="s">
        <v>39</v>
      </c>
      <c r="B236" s="465" t="s">
        <v>8</v>
      </c>
      <c r="C236" s="466">
        <v>1</v>
      </c>
      <c r="D236" s="80">
        <f>+E235</f>
        <v>0</v>
      </c>
      <c r="E236" s="80">
        <f>+D236/C236</f>
        <v>0</v>
      </c>
      <c r="F236" s="464"/>
    </row>
    <row r="237" spans="1:7" ht="13.8" hidden="1" thickBot="1">
      <c r="A237" s="467"/>
      <c r="B237" s="467"/>
      <c r="C237" s="467"/>
      <c r="D237" s="413" t="s">
        <v>197</v>
      </c>
      <c r="E237" s="414">
        <f>$B$46</f>
        <v>0</v>
      </c>
      <c r="F237" s="82">
        <f>(E234+E236)*E237</f>
        <v>0</v>
      </c>
    </row>
    <row r="238" spans="1:7" s="468" customFormat="1" ht="11.25" hidden="1" customHeight="1" thickBot="1">
      <c r="A238" s="360"/>
      <c r="B238" s="360"/>
      <c r="C238" s="360"/>
      <c r="D238" s="361"/>
      <c r="E238" s="361"/>
      <c r="F238" s="361"/>
      <c r="G238" s="84"/>
    </row>
    <row r="239" spans="1:7" ht="13.8" hidden="1" thickBot="1">
      <c r="A239" s="428" t="s">
        <v>227</v>
      </c>
      <c r="B239" s="429"/>
      <c r="C239" s="429"/>
      <c r="D239" s="26"/>
      <c r="E239" s="27"/>
      <c r="F239" s="21">
        <f>+F237</f>
        <v>0</v>
      </c>
    </row>
    <row r="240" spans="1:7" ht="11.25" customHeight="1" thickBot="1"/>
    <row r="241" spans="1:7" ht="17.25" customHeight="1" thickBot="1">
      <c r="A241" s="428" t="s">
        <v>232</v>
      </c>
      <c r="B241" s="433"/>
      <c r="C241" s="433"/>
      <c r="D241" s="434"/>
      <c r="E241" s="435"/>
      <c r="F241" s="22">
        <f>+F111+F141+F220+F228+F239</f>
        <v>14065.028999999999</v>
      </c>
    </row>
    <row r="242" spans="1:7" ht="11.25" customHeight="1"/>
    <row r="243" spans="1:7">
      <c r="A243" s="359" t="s">
        <v>421</v>
      </c>
    </row>
    <row r="244" spans="1:7" ht="11.25" customHeight="1" thickBot="1"/>
    <row r="245" spans="1:7" ht="13.8" thickBot="1">
      <c r="A245" s="400" t="s">
        <v>64</v>
      </c>
      <c r="B245" s="401" t="s">
        <v>65</v>
      </c>
      <c r="C245" s="401" t="s">
        <v>42</v>
      </c>
      <c r="D245" s="62" t="s">
        <v>237</v>
      </c>
      <c r="E245" s="62" t="s">
        <v>66</v>
      </c>
      <c r="F245" s="63" t="s">
        <v>67</v>
      </c>
    </row>
    <row r="246" spans="1:7" ht="13.8" thickBot="1">
      <c r="A246" s="402" t="s">
        <v>38</v>
      </c>
      <c r="B246" s="403" t="s">
        <v>2</v>
      </c>
      <c r="C246" s="411">
        <f>'7.BDI'!C21*100</f>
        <v>24.84</v>
      </c>
      <c r="D246" s="404">
        <f>+F241</f>
        <v>14065.028999999999</v>
      </c>
      <c r="E246" s="404">
        <f>C246*D246/100</f>
        <v>3493.7532035999993</v>
      </c>
    </row>
    <row r="247" spans="1:7" ht="13.8" thickBot="1">
      <c r="F247" s="21">
        <f>+E246</f>
        <v>3493.7532035999993</v>
      </c>
    </row>
    <row r="248" spans="1:7" ht="11.25" customHeight="1" thickBot="1"/>
    <row r="249" spans="1:7" ht="13.8" thickBot="1">
      <c r="A249" s="428" t="s">
        <v>242</v>
      </c>
      <c r="B249" s="433"/>
      <c r="C249" s="433"/>
      <c r="D249" s="434"/>
      <c r="E249" s="435"/>
      <c r="F249" s="22">
        <f>F247</f>
        <v>3493.7532035999993</v>
      </c>
    </row>
    <row r="250" spans="1:7">
      <c r="A250" s="398"/>
      <c r="B250" s="398"/>
      <c r="C250" s="398"/>
      <c r="D250" s="35"/>
      <c r="E250" s="35"/>
      <c r="F250" s="33"/>
    </row>
    <row r="251" spans="1:7" ht="11.25" customHeight="1" thickBot="1"/>
    <row r="252" spans="1:7" ht="24.75" customHeight="1">
      <c r="A252" s="470" t="s">
        <v>233</v>
      </c>
      <c r="B252" s="471"/>
      <c r="C252" s="471"/>
      <c r="D252" s="472"/>
      <c r="E252" s="473"/>
      <c r="F252" s="474">
        <f>F241+F249</f>
        <v>17558.7822036</v>
      </c>
    </row>
    <row r="253" spans="1:7" ht="12.6" customHeight="1">
      <c r="A253" s="475" t="s">
        <v>442</v>
      </c>
      <c r="B253" s="476"/>
      <c r="C253" s="477"/>
      <c r="D253" s="478"/>
      <c r="E253" s="478">
        <f>F252/C225</f>
        <v>117.00004800000001</v>
      </c>
      <c r="F253" s="479"/>
    </row>
    <row r="254" spans="1:7" s="364" customFormat="1" ht="9.75" customHeight="1">
      <c r="A254" s="39"/>
      <c r="B254" s="361"/>
      <c r="C254" s="361"/>
      <c r="D254" s="361"/>
      <c r="E254" s="361"/>
      <c r="F254" s="361"/>
      <c r="G254" s="6"/>
    </row>
    <row r="256" spans="1:7">
      <c r="F256" s="423"/>
    </row>
    <row r="284" spans="4:7" ht="9" customHeight="1">
      <c r="D284" s="360"/>
      <c r="E284" s="360"/>
      <c r="F284" s="360"/>
      <c r="G284" s="360"/>
    </row>
  </sheetData>
  <mergeCells count="7">
    <mergeCell ref="A42:D42"/>
    <mergeCell ref="A6:F6"/>
    <mergeCell ref="A7:F7"/>
    <mergeCell ref="A9:F9"/>
    <mergeCell ref="A19:C19"/>
    <mergeCell ref="A34:E34"/>
    <mergeCell ref="A35:D35"/>
  </mergeCells>
  <hyperlinks>
    <hyperlink ref="A163" location="AbaRemun" display="3.1.2. Remuneração do Capital"/>
    <hyperlink ref="A147" location="AbaDeprec" display="3.1.1. Depreciação"/>
  </hyperlinks>
  <pageMargins left="0.9055118110236221" right="0.51181102362204722" top="0.74803149606299213" bottom="0.74803149606299213" header="0.31496062992125984" footer="0.31496062992125984"/>
  <pageSetup paperSize="9" scale="77" orientation="portrait" verticalDpi="300" r:id="rId1"/>
  <headerFooter alignWithMargins="0">
    <oddFooter>&amp;R&amp;P de &amp;N</oddFooter>
  </headerFooter>
  <rowBreaks count="2" manualBreakCount="2">
    <brk id="112" max="5" man="1"/>
    <brk id="186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K26"/>
  <sheetViews>
    <sheetView workbookViewId="0"/>
  </sheetViews>
  <sheetFormatPr defaultRowHeight="13.2"/>
  <cols>
    <col min="1" max="1" width="10.44140625" customWidth="1"/>
    <col min="2" max="2" width="30.5546875" customWidth="1"/>
    <col min="3" max="3" width="13.33203125" hidden="1" customWidth="1"/>
    <col min="4" max="4" width="11.88671875" hidden="1" customWidth="1"/>
    <col min="5" max="5" width="13.88671875" hidden="1" customWidth="1"/>
    <col min="6" max="6" width="13.88671875" customWidth="1"/>
    <col min="7" max="8" width="13.6640625" hidden="1" customWidth="1"/>
    <col min="10" max="12" width="11.44140625" bestFit="1" customWidth="1"/>
    <col min="13" max="13" width="10.44140625" bestFit="1" customWidth="1"/>
  </cols>
  <sheetData>
    <row r="1" spans="1:11">
      <c r="A1" s="108" t="s">
        <v>494</v>
      </c>
    </row>
    <row r="2" spans="1:11">
      <c r="A2" s="108" t="s">
        <v>423</v>
      </c>
    </row>
    <row r="3" spans="1:11">
      <c r="A3" s="480" t="s">
        <v>321</v>
      </c>
      <c r="B3" s="480" t="s">
        <v>424</v>
      </c>
      <c r="C3" s="480" t="s">
        <v>446</v>
      </c>
      <c r="D3" s="480" t="s">
        <v>425</v>
      </c>
      <c r="E3" s="480" t="s">
        <v>426</v>
      </c>
      <c r="F3" s="480" t="s">
        <v>447</v>
      </c>
      <c r="G3" s="480" t="s">
        <v>427</v>
      </c>
      <c r="H3" s="480" t="s">
        <v>448</v>
      </c>
    </row>
    <row r="4" spans="1:11">
      <c r="A4" s="481">
        <v>1</v>
      </c>
      <c r="B4" s="482" t="s">
        <v>516</v>
      </c>
      <c r="C4" s="514">
        <f>9901.41+8807.51+4497.81</f>
        <v>23206.73</v>
      </c>
      <c r="D4" s="482"/>
      <c r="E4" s="483">
        <f>C4*D4</f>
        <v>0</v>
      </c>
      <c r="F4" s="483">
        <f>'1. Coleta Dom'!F306</f>
        <v>20974.603254104994</v>
      </c>
      <c r="G4" s="483">
        <f>F4-C4</f>
        <v>-2232.126745895006</v>
      </c>
      <c r="H4" s="515">
        <f>F4/C4-1</f>
        <v>-9.6184457952283919E-2</v>
      </c>
    </row>
    <row r="5" spans="1:11">
      <c r="A5" s="481">
        <v>2</v>
      </c>
      <c r="B5" s="482" t="s">
        <v>499</v>
      </c>
      <c r="C5" s="514">
        <f>4649.22+2392.89</f>
        <v>7042.1100000000006</v>
      </c>
      <c r="D5" s="482"/>
      <c r="E5" s="483">
        <f t="shared" ref="E5:E8" si="0">C5*D5</f>
        <v>0</v>
      </c>
      <c r="F5" s="483">
        <f>'2. Coleta Seletiva'!F305</f>
        <v>11581.691639380235</v>
      </c>
      <c r="G5" s="483">
        <f t="shared" ref="G5:G7" si="1">F5-C5</f>
        <v>4539.5816393802343</v>
      </c>
      <c r="H5" s="515">
        <f t="shared" ref="H5:H9" si="2">F5/C5-1</f>
        <v>0.64463373042741923</v>
      </c>
    </row>
    <row r="6" spans="1:11">
      <c r="A6" s="481">
        <v>3</v>
      </c>
      <c r="B6" s="482" t="s">
        <v>498</v>
      </c>
      <c r="C6" s="514">
        <v>5336.15</v>
      </c>
      <c r="D6" s="482"/>
      <c r="E6" s="483"/>
      <c r="F6" s="483">
        <f>'3. Contentores'!F106</f>
        <v>5549.8920335999992</v>
      </c>
      <c r="G6" s="483">
        <f t="shared" si="1"/>
        <v>213.74203359999956</v>
      </c>
      <c r="H6" s="515">
        <f t="shared" si="2"/>
        <v>4.0055477001208706E-2</v>
      </c>
    </row>
    <row r="7" spans="1:11">
      <c r="A7" s="481">
        <v>4</v>
      </c>
      <c r="B7" s="482" t="s">
        <v>436</v>
      </c>
      <c r="C7" s="514">
        <v>19406.259999999998</v>
      </c>
      <c r="D7" s="482"/>
      <c r="E7" s="483">
        <f t="shared" si="0"/>
        <v>0</v>
      </c>
      <c r="F7" s="483">
        <f>'4. Destino Final'!F252</f>
        <v>17558.7822036</v>
      </c>
      <c r="G7" s="483">
        <f t="shared" si="1"/>
        <v>-1847.4777963999986</v>
      </c>
      <c r="H7" s="515">
        <f t="shared" si="2"/>
        <v>-9.5200095041496846E-2</v>
      </c>
    </row>
    <row r="8" spans="1:11">
      <c r="A8" s="481"/>
      <c r="B8" s="482"/>
      <c r="C8" s="482"/>
      <c r="D8" s="482"/>
      <c r="E8" s="483">
        <f t="shared" si="0"/>
        <v>0</v>
      </c>
      <c r="F8" s="483"/>
      <c r="G8" s="483"/>
      <c r="H8" s="515"/>
    </row>
    <row r="9" spans="1:11">
      <c r="A9" s="484" t="s">
        <v>428</v>
      </c>
      <c r="B9" s="484"/>
      <c r="C9" s="485">
        <f>SUM(C4:C8)</f>
        <v>54991.25</v>
      </c>
      <c r="D9" s="484"/>
      <c r="E9" s="486">
        <f>SUM(E4:E8)</f>
        <v>0</v>
      </c>
      <c r="F9" s="486">
        <f>SUM(F4:F8)</f>
        <v>55664.969130685226</v>
      </c>
      <c r="G9" s="486">
        <f>F9-C9</f>
        <v>673.71913068522554</v>
      </c>
      <c r="H9" s="515">
        <f t="shared" si="2"/>
        <v>1.2251387824157911E-2</v>
      </c>
      <c r="J9" s="497"/>
      <c r="K9" s="498"/>
    </row>
    <row r="10" spans="1:11">
      <c r="A10" s="484" t="s">
        <v>429</v>
      </c>
      <c r="B10" s="482"/>
      <c r="C10" s="482"/>
      <c r="D10" s="482"/>
      <c r="E10" s="486"/>
      <c r="F10" s="486">
        <v>150.08000000000001</v>
      </c>
      <c r="G10" s="482"/>
      <c r="H10" s="482"/>
    </row>
    <row r="11" spans="1:11">
      <c r="A11" s="484" t="s">
        <v>430</v>
      </c>
      <c r="B11" s="482"/>
      <c r="C11" s="482"/>
      <c r="D11" s="482"/>
      <c r="E11" s="486"/>
      <c r="F11" s="486">
        <f>F9/F10</f>
        <v>370.90197981533328</v>
      </c>
      <c r="G11" s="482"/>
      <c r="H11" s="482"/>
    </row>
    <row r="12" spans="1:11">
      <c r="A12" s="482"/>
      <c r="B12" s="482"/>
      <c r="C12" s="482"/>
      <c r="D12" s="482"/>
      <c r="E12" s="482"/>
      <c r="F12" s="482"/>
      <c r="G12" s="482"/>
      <c r="H12" s="482"/>
    </row>
    <row r="13" spans="1:11">
      <c r="A13" s="482"/>
      <c r="B13" s="482"/>
      <c r="C13" s="482"/>
      <c r="D13" s="482"/>
      <c r="E13" s="482"/>
      <c r="F13" s="482"/>
      <c r="G13" s="482"/>
      <c r="H13" s="482"/>
    </row>
    <row r="16" spans="1:11">
      <c r="A16" s="108" t="s">
        <v>431</v>
      </c>
    </row>
    <row r="17" spans="1:6">
      <c r="A17" s="483">
        <v>10</v>
      </c>
      <c r="B17" s="487" t="s">
        <v>82</v>
      </c>
      <c r="C17" s="503"/>
      <c r="D17" s="499"/>
      <c r="F17" s="498"/>
    </row>
    <row r="18" spans="1:6">
      <c r="A18" s="483">
        <v>5</v>
      </c>
      <c r="B18" s="487" t="s">
        <v>432</v>
      </c>
      <c r="C18" s="505"/>
      <c r="D18" s="500"/>
    </row>
    <row r="19" spans="1:6">
      <c r="A19" s="483">
        <v>5</v>
      </c>
      <c r="B19" s="487" t="s">
        <v>433</v>
      </c>
      <c r="C19" s="505"/>
      <c r="D19" s="500"/>
    </row>
    <row r="20" spans="1:6">
      <c r="A20" s="490">
        <f>SUM(A17:A19)</f>
        <v>20</v>
      </c>
      <c r="B20" s="487" t="s">
        <v>434</v>
      </c>
      <c r="C20" s="505"/>
      <c r="D20" s="500"/>
    </row>
    <row r="21" spans="1:6">
      <c r="A21" s="488">
        <f>F9*A20/100</f>
        <v>11132.993826137046</v>
      </c>
      <c r="B21" s="489" t="s">
        <v>435</v>
      </c>
      <c r="C21" s="505"/>
      <c r="D21" s="500"/>
    </row>
    <row r="22" spans="1:6">
      <c r="A22" s="503"/>
      <c r="B22" s="504"/>
      <c r="C22" s="505"/>
      <c r="D22" s="500"/>
    </row>
    <row r="23" spans="1:6">
      <c r="A23" s="503"/>
      <c r="B23" s="503"/>
      <c r="C23" s="503"/>
      <c r="D23" s="500"/>
    </row>
    <row r="24" spans="1:6">
      <c r="A24" s="503"/>
      <c r="B24" s="506"/>
      <c r="C24" s="507"/>
      <c r="D24" s="501"/>
    </row>
    <row r="25" spans="1:6">
      <c r="A25" s="503"/>
      <c r="B25" s="508"/>
      <c r="C25" s="503"/>
      <c r="D25" s="502"/>
    </row>
    <row r="26" spans="1:6">
      <c r="A26" s="503"/>
      <c r="B26" s="508"/>
      <c r="C26" s="503"/>
      <c r="D26" s="502"/>
    </row>
  </sheetData>
  <pageMargins left="0.511811024" right="0.511811024" top="0.78740157499999996" bottom="0.78740157499999996" header="0.31496062000000002" footer="0.31496062000000002"/>
  <pageSetup paperSize="9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69"/>
  <sheetViews>
    <sheetView workbookViewId="0"/>
  </sheetViews>
  <sheetFormatPr defaultColWidth="9.109375" defaultRowHeight="13.2"/>
  <cols>
    <col min="1" max="1" width="13.5546875" style="1" customWidth="1"/>
    <col min="2" max="2" width="39.5546875" style="1" bestFit="1" customWidth="1"/>
    <col min="3" max="3" width="20.88671875" style="1" customWidth="1"/>
    <col min="4" max="4" width="37.33203125" style="158" customWidth="1"/>
    <col min="5" max="10" width="9.109375" style="1"/>
    <col min="11" max="11" width="11" style="1" bestFit="1" customWidth="1"/>
    <col min="12" max="16384" width="9.109375" style="1"/>
  </cols>
  <sheetData>
    <row r="1" spans="1:12">
      <c r="A1" s="11" t="s">
        <v>205</v>
      </c>
    </row>
    <row r="2" spans="1:12">
      <c r="A2" s="140" t="s">
        <v>249</v>
      </c>
    </row>
    <row r="3" spans="1:12" s="4" customFormat="1" ht="15.6" customHeight="1">
      <c r="B3" s="139"/>
      <c r="C3" s="139"/>
      <c r="D3" s="139"/>
      <c r="E3" s="139"/>
      <c r="F3" s="139"/>
      <c r="G3" s="6"/>
    </row>
    <row r="4" spans="1:12" s="4" customFormat="1" ht="15.6" hidden="1" customHeight="1">
      <c r="A4" s="305" t="s">
        <v>298</v>
      </c>
      <c r="B4" s="139"/>
      <c r="C4" s="139"/>
      <c r="D4" s="139"/>
      <c r="E4" s="139"/>
      <c r="F4" s="139"/>
      <c r="G4" s="6"/>
    </row>
    <row r="5" spans="1:12" s="4" customFormat="1" ht="16.5" customHeight="1">
      <c r="A5" s="349" t="s">
        <v>318</v>
      </c>
      <c r="B5" s="5"/>
      <c r="C5" s="5"/>
      <c r="D5" s="6"/>
      <c r="E5" s="6"/>
      <c r="F5" s="6"/>
      <c r="G5" s="6"/>
    </row>
    <row r="6" spans="1:12" s="4" customFormat="1" ht="16.5" customHeight="1">
      <c r="A6" s="349" t="s">
        <v>319</v>
      </c>
      <c r="B6" s="5"/>
      <c r="C6" s="5"/>
      <c r="D6" s="6"/>
      <c r="E6" s="6"/>
      <c r="F6" s="6"/>
      <c r="G6" s="6"/>
    </row>
    <row r="7" spans="1:12" ht="13.8" thickBot="1"/>
    <row r="8" spans="1:12" ht="17.399999999999999">
      <c r="A8" s="650" t="s">
        <v>510</v>
      </c>
      <c r="B8" s="651"/>
      <c r="C8" s="652"/>
      <c r="D8" s="150"/>
      <c r="E8" s="150"/>
      <c r="F8" s="150"/>
    </row>
    <row r="9" spans="1:12" ht="13.8">
      <c r="A9" s="169" t="s">
        <v>143</v>
      </c>
      <c r="B9" s="170" t="s">
        <v>144</v>
      </c>
      <c r="C9" s="171" t="s">
        <v>145</v>
      </c>
      <c r="D9" s="172"/>
    </row>
    <row r="10" spans="1:12" ht="13.8">
      <c r="A10" s="169" t="s">
        <v>146</v>
      </c>
      <c r="B10" s="170" t="s">
        <v>43</v>
      </c>
      <c r="C10" s="173">
        <v>0.2</v>
      </c>
      <c r="D10" s="172"/>
      <c r="F10" s="158"/>
      <c r="G10" s="158"/>
      <c r="H10" s="158"/>
      <c r="I10" s="158"/>
      <c r="J10" s="158"/>
      <c r="K10" s="158"/>
      <c r="L10" s="158"/>
    </row>
    <row r="11" spans="1:12" ht="13.8">
      <c r="A11" s="169" t="s">
        <v>147</v>
      </c>
      <c r="B11" s="170" t="s">
        <v>148</v>
      </c>
      <c r="C11" s="173">
        <v>1.4999999999999999E-2</v>
      </c>
      <c r="D11" s="172"/>
      <c r="F11" s="158"/>
      <c r="G11" s="158"/>
      <c r="H11" s="158"/>
      <c r="I11" s="158"/>
      <c r="J11" s="158"/>
      <c r="K11" s="158"/>
      <c r="L11" s="158"/>
    </row>
    <row r="12" spans="1:12" ht="13.8">
      <c r="A12" s="169" t="s">
        <v>149</v>
      </c>
      <c r="B12" s="170" t="s">
        <v>150</v>
      </c>
      <c r="C12" s="173">
        <v>0.01</v>
      </c>
      <c r="D12" s="172"/>
      <c r="F12" s="158"/>
      <c r="G12" s="158"/>
      <c r="H12" s="158"/>
      <c r="I12" s="158"/>
      <c r="J12" s="158"/>
      <c r="K12" s="158"/>
      <c r="L12" s="158"/>
    </row>
    <row r="13" spans="1:12" ht="13.8">
      <c r="A13" s="169" t="s">
        <v>151</v>
      </c>
      <c r="B13" s="170" t="s">
        <v>152</v>
      </c>
      <c r="C13" s="173">
        <v>2E-3</v>
      </c>
      <c r="D13" s="172"/>
      <c r="F13" s="158"/>
      <c r="G13" s="158"/>
      <c r="H13" s="158"/>
      <c r="I13" s="158"/>
      <c r="J13" s="158"/>
      <c r="K13" s="158"/>
      <c r="L13" s="158"/>
    </row>
    <row r="14" spans="1:12" ht="13.8">
      <c r="A14" s="169" t="s">
        <v>153</v>
      </c>
      <c r="B14" s="170" t="s">
        <v>154</v>
      </c>
      <c r="C14" s="173">
        <v>6.0000000000000001E-3</v>
      </c>
      <c r="D14" s="172"/>
      <c r="F14" s="158"/>
      <c r="G14" s="158"/>
      <c r="H14" s="158"/>
      <c r="I14" s="158"/>
      <c r="J14" s="158"/>
      <c r="K14" s="158"/>
      <c r="L14" s="158"/>
    </row>
    <row r="15" spans="1:12" ht="13.8">
      <c r="A15" s="169" t="s">
        <v>155</v>
      </c>
      <c r="B15" s="170" t="s">
        <v>156</v>
      </c>
      <c r="C15" s="173">
        <v>2.5000000000000001E-2</v>
      </c>
      <c r="D15" s="172"/>
      <c r="F15" s="158"/>
      <c r="G15" s="158"/>
      <c r="H15" s="158"/>
      <c r="I15" s="158"/>
      <c r="J15" s="158"/>
      <c r="K15" s="158"/>
      <c r="L15" s="158"/>
    </row>
    <row r="16" spans="1:12" ht="13.8">
      <c r="A16" s="169" t="s">
        <v>157</v>
      </c>
      <c r="B16" s="170" t="s">
        <v>158</v>
      </c>
      <c r="C16" s="173">
        <v>0.03</v>
      </c>
      <c r="D16" s="172"/>
      <c r="F16" s="158"/>
      <c r="G16" s="158"/>
      <c r="H16" s="158"/>
      <c r="I16" s="158"/>
      <c r="J16" s="158"/>
      <c r="K16" s="158"/>
      <c r="L16" s="158"/>
    </row>
    <row r="17" spans="1:12" ht="13.8">
      <c r="A17" s="169" t="s">
        <v>159</v>
      </c>
      <c r="B17" s="170" t="s">
        <v>44</v>
      </c>
      <c r="C17" s="173">
        <v>0.08</v>
      </c>
      <c r="D17" s="174"/>
      <c r="F17" s="158"/>
      <c r="G17" s="158"/>
      <c r="H17" s="158"/>
      <c r="I17" s="158"/>
      <c r="J17" s="158"/>
      <c r="K17" s="158"/>
      <c r="L17" s="158"/>
    </row>
    <row r="18" spans="1:12" ht="13.8">
      <c r="A18" s="169" t="s">
        <v>160</v>
      </c>
      <c r="B18" s="175" t="s">
        <v>161</v>
      </c>
      <c r="C18" s="176">
        <f>SUM(C10:C17)</f>
        <v>0.36800000000000005</v>
      </c>
      <c r="D18" s="174"/>
      <c r="F18" s="158"/>
      <c r="G18" s="158"/>
      <c r="H18" s="158"/>
      <c r="I18" s="158"/>
      <c r="J18" s="158"/>
      <c r="K18" s="158"/>
      <c r="L18" s="158"/>
    </row>
    <row r="19" spans="1:12" ht="13.8">
      <c r="A19" s="177"/>
      <c r="B19" s="178"/>
      <c r="C19" s="179"/>
      <c r="D19" s="174"/>
      <c r="F19" s="158"/>
      <c r="G19" s="158"/>
      <c r="H19" s="158"/>
      <c r="I19" s="158"/>
      <c r="J19" s="158"/>
      <c r="K19" s="158"/>
      <c r="L19" s="158"/>
    </row>
    <row r="20" spans="1:12" ht="13.8">
      <c r="A20" s="169" t="s">
        <v>162</v>
      </c>
      <c r="B20" s="180" t="s">
        <v>163</v>
      </c>
      <c r="C20" s="173">
        <f>ROUND(IF('6.CAGED'!C32&gt;24,(1-12/'6.CAGED'!C32)*0.1111,0.1111-C29),4)</f>
        <v>6.5699999999999995E-2</v>
      </c>
      <c r="D20" s="174"/>
      <c r="F20" s="158"/>
      <c r="G20" s="158"/>
      <c r="H20" s="158"/>
      <c r="I20" s="158"/>
      <c r="J20" s="158"/>
      <c r="K20" s="158"/>
      <c r="L20" s="158"/>
    </row>
    <row r="21" spans="1:12" ht="13.8">
      <c r="A21" s="169" t="s">
        <v>164</v>
      </c>
      <c r="B21" s="180" t="s">
        <v>165</v>
      </c>
      <c r="C21" s="173">
        <f>ROUND('6.CAGED'!C36/'6.CAGED'!C33,4)</f>
        <v>8.3299999999999999E-2</v>
      </c>
      <c r="D21" s="174"/>
      <c r="F21" s="158"/>
      <c r="G21" s="158"/>
      <c r="H21" s="158"/>
      <c r="I21" s="158"/>
      <c r="J21" s="158"/>
      <c r="K21" s="158"/>
      <c r="L21" s="158"/>
    </row>
    <row r="22" spans="1:12" ht="13.8">
      <c r="A22" s="169" t="s">
        <v>225</v>
      </c>
      <c r="B22" s="180" t="s">
        <v>167</v>
      </c>
      <c r="C22" s="173">
        <v>5.9999999999999995E-4</v>
      </c>
      <c r="D22" s="174"/>
      <c r="F22" s="158"/>
      <c r="G22" s="158"/>
      <c r="H22" s="158"/>
      <c r="I22" s="158"/>
      <c r="J22" s="158"/>
      <c r="K22" s="158"/>
      <c r="L22" s="158"/>
    </row>
    <row r="23" spans="1:12" ht="13.8">
      <c r="A23" s="169" t="s">
        <v>166</v>
      </c>
      <c r="B23" s="180" t="s">
        <v>169</v>
      </c>
      <c r="C23" s="173">
        <v>8.2000000000000007E-3</v>
      </c>
      <c r="D23" s="174"/>
      <c r="F23" s="158"/>
      <c r="G23" s="158"/>
      <c r="H23" s="158"/>
      <c r="I23" s="158"/>
      <c r="J23" s="158"/>
      <c r="K23" s="158"/>
      <c r="L23" s="158"/>
    </row>
    <row r="24" spans="1:12" ht="13.8">
      <c r="A24" s="169" t="s">
        <v>168</v>
      </c>
      <c r="B24" s="180" t="s">
        <v>171</v>
      </c>
      <c r="C24" s="173">
        <v>3.0999999999999999E-3</v>
      </c>
      <c r="D24" s="174"/>
      <c r="F24" s="158"/>
      <c r="G24" s="158"/>
      <c r="H24" s="158"/>
      <c r="I24" s="158"/>
      <c r="J24" s="158"/>
      <c r="K24" s="158"/>
      <c r="L24" s="158"/>
    </row>
    <row r="25" spans="1:12" ht="13.8">
      <c r="A25" s="169" t="s">
        <v>170</v>
      </c>
      <c r="B25" s="180" t="s">
        <v>172</v>
      </c>
      <c r="C25" s="173">
        <v>1.66E-2</v>
      </c>
      <c r="D25" s="174"/>
      <c r="F25" s="158"/>
      <c r="G25" s="158"/>
      <c r="H25" s="158"/>
      <c r="I25" s="158"/>
      <c r="J25" s="158"/>
      <c r="K25" s="158"/>
      <c r="L25" s="158"/>
    </row>
    <row r="26" spans="1:12" ht="13.8">
      <c r="A26" s="169" t="s">
        <v>173</v>
      </c>
      <c r="B26" s="175" t="s">
        <v>174</v>
      </c>
      <c r="C26" s="176">
        <f>SUM(C20:C25)</f>
        <v>0.17749999999999999</v>
      </c>
      <c r="D26" s="181"/>
      <c r="F26" s="158"/>
      <c r="G26" s="158"/>
      <c r="H26" s="158"/>
      <c r="I26" s="158"/>
      <c r="J26" s="158"/>
      <c r="K26" s="158"/>
      <c r="L26" s="158"/>
    </row>
    <row r="27" spans="1:12" ht="13.8">
      <c r="A27" s="177"/>
      <c r="B27" s="178"/>
      <c r="C27" s="179"/>
      <c r="D27" s="181"/>
      <c r="F27" s="158"/>
      <c r="G27" s="158"/>
      <c r="H27" s="158"/>
      <c r="I27" s="158"/>
      <c r="J27" s="158"/>
      <c r="K27" s="158"/>
      <c r="L27" s="158"/>
    </row>
    <row r="28" spans="1:12" ht="13.8">
      <c r="A28" s="169" t="s">
        <v>175</v>
      </c>
      <c r="B28" s="170" t="s">
        <v>176</v>
      </c>
      <c r="C28" s="173">
        <f>ROUND(('6.CAGED'!C37) *'6.CAGED'!C30/'6.CAGED'!C33,4)</f>
        <v>2.9000000000000001E-2</v>
      </c>
      <c r="D28" s="174"/>
      <c r="E28" s="182"/>
      <c r="F28" s="158"/>
      <c r="G28" s="158"/>
      <c r="H28" s="158"/>
      <c r="I28" s="158"/>
      <c r="J28" s="158"/>
      <c r="K28" s="158"/>
      <c r="L28" s="158"/>
    </row>
    <row r="29" spans="1:12" ht="13.8">
      <c r="A29" s="169" t="s">
        <v>224</v>
      </c>
      <c r="B29" s="170" t="s">
        <v>178</v>
      </c>
      <c r="C29" s="173">
        <f>ROUND(IF('6.CAGED'!C32&gt;12,12/'6.CAGED'!C32*0.1111,0.1111),4)</f>
        <v>4.5400000000000003E-2</v>
      </c>
      <c r="D29" s="174"/>
      <c r="F29" s="158"/>
      <c r="G29" s="158"/>
      <c r="H29" s="183"/>
      <c r="I29" s="158"/>
      <c r="J29" s="158"/>
      <c r="K29" s="158"/>
      <c r="L29" s="158"/>
    </row>
    <row r="30" spans="1:12" ht="13.8">
      <c r="A30" s="169" t="s">
        <v>177</v>
      </c>
      <c r="B30" s="170" t="s">
        <v>180</v>
      </c>
      <c r="C30" s="173">
        <f>C28*C29</f>
        <v>1.3166000000000002E-3</v>
      </c>
      <c r="D30" s="174"/>
      <c r="E30" s="182"/>
      <c r="F30" s="158"/>
      <c r="G30" s="158"/>
      <c r="H30" s="158"/>
      <c r="I30" s="158"/>
      <c r="J30" s="158"/>
      <c r="K30" s="158"/>
      <c r="L30" s="158"/>
    </row>
    <row r="31" spans="1:12" ht="13.8">
      <c r="A31" s="169" t="s">
        <v>179</v>
      </c>
      <c r="B31" s="170" t="s">
        <v>182</v>
      </c>
      <c r="C31" s="173">
        <f>ROUND(('6.CAGED'!C33+'6.CAGED'!C34+'6.CAGED'!C36)/'6.CAGED'!C31*'6.CAGED'!C38*'6.CAGED'!C39*'6.CAGED'!C30/'6.CAGED'!C33,4)</f>
        <v>3.15E-2</v>
      </c>
      <c r="D31" s="174"/>
      <c r="F31" s="158"/>
      <c r="G31" s="184"/>
      <c r="H31" s="158"/>
      <c r="I31" s="158"/>
      <c r="J31" s="158"/>
      <c r="K31" s="158"/>
      <c r="L31" s="158"/>
    </row>
    <row r="32" spans="1:12" ht="13.8">
      <c r="A32" s="169" t="s">
        <v>181</v>
      </c>
      <c r="B32" s="170" t="s">
        <v>183</v>
      </c>
      <c r="C32" s="173">
        <f>ROUND(('6.CAGED'!C35/'6.CAGED'!C33)*'6.CAGED'!C30/12,4)</f>
        <v>2E-3</v>
      </c>
      <c r="D32" s="174"/>
      <c r="F32" s="158"/>
      <c r="G32" s="158"/>
      <c r="H32" s="158"/>
      <c r="I32" s="158"/>
      <c r="J32" s="158"/>
      <c r="K32" s="158"/>
      <c r="L32" s="158"/>
    </row>
    <row r="33" spans="1:12" ht="13.8">
      <c r="A33" s="169" t="s">
        <v>184</v>
      </c>
      <c r="B33" s="175" t="s">
        <v>185</v>
      </c>
      <c r="C33" s="176">
        <f>SUM(C28:C32)</f>
        <v>0.10921660000000001</v>
      </c>
      <c r="D33" s="181"/>
      <c r="F33" s="158"/>
      <c r="G33" s="158"/>
      <c r="H33" s="158"/>
      <c r="I33" s="158"/>
      <c r="J33" s="158"/>
      <c r="K33" s="158"/>
      <c r="L33" s="158"/>
    </row>
    <row r="34" spans="1:12" ht="13.8">
      <c r="A34" s="177"/>
      <c r="B34" s="178"/>
      <c r="C34" s="179"/>
      <c r="D34" s="181"/>
      <c r="F34" s="158"/>
      <c r="G34" s="158"/>
      <c r="H34" s="158"/>
      <c r="I34" s="158"/>
      <c r="J34" s="158"/>
      <c r="K34" s="158"/>
      <c r="L34" s="158"/>
    </row>
    <row r="35" spans="1:12" ht="13.8">
      <c r="A35" s="169" t="s">
        <v>186</v>
      </c>
      <c r="B35" s="170" t="s">
        <v>187</v>
      </c>
      <c r="C35" s="173">
        <f>ROUND(C18*C26,4)</f>
        <v>6.5299999999999997E-2</v>
      </c>
      <c r="D35" s="174"/>
      <c r="F35" s="158"/>
      <c r="G35" s="158"/>
      <c r="H35" s="158"/>
      <c r="I35" s="158"/>
      <c r="J35" s="158"/>
      <c r="K35" s="158"/>
      <c r="L35" s="158"/>
    </row>
    <row r="36" spans="1:12" ht="27.6">
      <c r="A36" s="169" t="s">
        <v>188</v>
      </c>
      <c r="B36" s="185" t="s">
        <v>294</v>
      </c>
      <c r="C36" s="173">
        <f>ROUND((C28*C17),4)</f>
        <v>2.3E-3</v>
      </c>
      <c r="D36" s="174"/>
      <c r="F36" s="158"/>
      <c r="G36" s="158"/>
      <c r="H36" s="158"/>
      <c r="I36" s="158"/>
      <c r="J36" s="158"/>
      <c r="K36" s="158"/>
      <c r="L36" s="158"/>
    </row>
    <row r="37" spans="1:12" ht="13.8">
      <c r="A37" s="169" t="s">
        <v>189</v>
      </c>
      <c r="B37" s="175" t="s">
        <v>190</v>
      </c>
      <c r="C37" s="176">
        <f>SUM(C35:C36)</f>
        <v>6.7599999999999993E-2</v>
      </c>
      <c r="D37" s="186"/>
      <c r="F37" s="158"/>
      <c r="G37" s="158"/>
      <c r="H37" s="158"/>
      <c r="I37" s="158"/>
      <c r="J37" s="158"/>
      <c r="K37" s="158"/>
      <c r="L37" s="158"/>
    </row>
    <row r="38" spans="1:12" ht="14.4" thickBot="1">
      <c r="A38" s="187"/>
      <c r="B38" s="188" t="s">
        <v>191</v>
      </c>
      <c r="C38" s="189">
        <f>C37+C33+C26+C18</f>
        <v>0.72231660000000009</v>
      </c>
      <c r="D38" s="186"/>
      <c r="F38" s="158"/>
      <c r="G38" s="158"/>
      <c r="H38" s="158"/>
      <c r="I38" s="158"/>
      <c r="J38" s="158"/>
      <c r="K38" s="158"/>
      <c r="L38" s="158"/>
    </row>
    <row r="39" spans="1:12" ht="13.8">
      <c r="A39" s="174"/>
      <c r="B39" s="190"/>
      <c r="C39" s="191"/>
      <c r="D39" s="192"/>
      <c r="F39" s="158"/>
      <c r="G39" s="158"/>
      <c r="H39" s="158"/>
      <c r="I39" s="158"/>
      <c r="J39" s="158"/>
      <c r="K39" s="158"/>
      <c r="L39" s="158"/>
    </row>
    <row r="40" spans="1:12" ht="13.8">
      <c r="A40" s="174"/>
      <c r="B40" s="174"/>
      <c r="C40" s="193"/>
      <c r="D40" s="194"/>
      <c r="F40" s="158"/>
      <c r="G40" s="158"/>
      <c r="H40" s="158"/>
      <c r="I40" s="158"/>
      <c r="J40" s="158"/>
      <c r="K40" s="158"/>
      <c r="L40" s="158"/>
    </row>
    <row r="41" spans="1:12" ht="13.8">
      <c r="A41" s="172"/>
      <c r="B41" s="172"/>
      <c r="C41" s="195"/>
      <c r="D41" s="172"/>
      <c r="F41" s="158"/>
      <c r="G41" s="158"/>
      <c r="H41" s="158"/>
      <c r="I41" s="158"/>
      <c r="J41" s="158"/>
      <c r="K41" s="158"/>
      <c r="L41" s="158"/>
    </row>
    <row r="42" spans="1:12" ht="13.8">
      <c r="A42" s="172"/>
      <c r="B42" s="172"/>
      <c r="C42" s="195"/>
      <c r="D42" s="172"/>
      <c r="F42" s="158"/>
      <c r="G42" s="158"/>
      <c r="H42" s="158"/>
      <c r="I42" s="158"/>
      <c r="J42" s="158"/>
      <c r="K42" s="158"/>
      <c r="L42" s="158"/>
    </row>
    <row r="43" spans="1:12" ht="13.8">
      <c r="A43" s="172"/>
      <c r="B43" s="172"/>
      <c r="C43" s="195"/>
      <c r="D43" s="172"/>
      <c r="F43" s="158"/>
      <c r="G43" s="158"/>
      <c r="H43" s="158"/>
      <c r="I43" s="158"/>
      <c r="J43" s="158"/>
      <c r="K43" s="158"/>
      <c r="L43" s="158"/>
    </row>
    <row r="44" spans="1:12" ht="13.8">
      <c r="A44" s="172"/>
      <c r="B44" s="196"/>
      <c r="C44" s="197"/>
      <c r="D44" s="172"/>
      <c r="F44" s="158"/>
      <c r="G44" s="158"/>
      <c r="H44" s="158"/>
      <c r="I44" s="158"/>
      <c r="J44" s="158"/>
      <c r="K44" s="158"/>
      <c r="L44" s="158"/>
    </row>
    <row r="45" spans="1:12" ht="13.8">
      <c r="A45" s="186"/>
      <c r="B45" s="196"/>
      <c r="C45" s="197"/>
      <c r="D45" s="186"/>
      <c r="E45" s="158"/>
      <c r="F45" s="158"/>
      <c r="G45" s="158"/>
      <c r="H45" s="158"/>
      <c r="I45" s="158"/>
      <c r="J45" s="158"/>
      <c r="K45" s="158"/>
      <c r="L45" s="158"/>
    </row>
    <row r="46" spans="1:12" ht="16.8">
      <c r="A46" s="198"/>
      <c r="B46" s="158"/>
      <c r="C46" s="158"/>
      <c r="E46" s="158"/>
      <c r="F46" s="158"/>
      <c r="G46" s="158"/>
      <c r="H46" s="158"/>
      <c r="I46" s="158"/>
      <c r="J46" s="158"/>
      <c r="K46" s="158"/>
      <c r="L46" s="158"/>
    </row>
    <row r="47" spans="1:12">
      <c r="A47" s="199"/>
      <c r="B47" s="200"/>
      <c r="C47" s="200"/>
      <c r="E47" s="158"/>
      <c r="F47" s="158"/>
      <c r="G47" s="158"/>
      <c r="H47" s="158"/>
      <c r="I47" s="158"/>
      <c r="J47" s="158"/>
      <c r="K47" s="158"/>
      <c r="L47" s="158"/>
    </row>
    <row r="48" spans="1:12" ht="13.8">
      <c r="A48" s="172"/>
      <c r="B48" s="201"/>
      <c r="C48" s="200"/>
      <c r="E48" s="158"/>
      <c r="F48" s="158"/>
      <c r="G48" s="158"/>
      <c r="H48" s="158"/>
      <c r="I48" s="158"/>
      <c r="J48" s="158"/>
      <c r="K48" s="158"/>
      <c r="L48" s="158"/>
    </row>
    <row r="49" spans="1:12" ht="13.8">
      <c r="A49" s="172"/>
      <c r="B49" s="201"/>
      <c r="C49" s="172"/>
      <c r="E49" s="158"/>
      <c r="F49" s="158"/>
      <c r="G49" s="158"/>
      <c r="H49" s="158"/>
      <c r="I49" s="158"/>
      <c r="J49" s="158"/>
      <c r="K49" s="158"/>
      <c r="L49" s="158"/>
    </row>
    <row r="50" spans="1:12" ht="13.8">
      <c r="A50" s="172"/>
      <c r="B50" s="195"/>
      <c r="C50" s="200"/>
      <c r="E50" s="158"/>
      <c r="F50" s="158"/>
      <c r="G50" s="158"/>
      <c r="H50" s="158"/>
      <c r="I50" s="158"/>
      <c r="J50" s="158"/>
      <c r="K50" s="158"/>
      <c r="L50" s="158"/>
    </row>
    <row r="51" spans="1:12" ht="13.8">
      <c r="A51" s="172"/>
      <c r="B51" s="201"/>
      <c r="C51" s="172"/>
      <c r="E51" s="158"/>
      <c r="F51" s="158"/>
      <c r="G51" s="158"/>
      <c r="H51" s="158"/>
      <c r="I51" s="158"/>
      <c r="J51" s="158"/>
      <c r="K51" s="158"/>
      <c r="L51" s="158"/>
    </row>
    <row r="52" spans="1:12" ht="13.8">
      <c r="A52" s="172"/>
      <c r="B52" s="195"/>
      <c r="C52" s="200"/>
      <c r="E52" s="158"/>
      <c r="F52" s="158"/>
      <c r="G52" s="158"/>
      <c r="H52" s="158"/>
      <c r="I52" s="158"/>
      <c r="J52" s="158"/>
      <c r="K52" s="158"/>
      <c r="L52" s="158"/>
    </row>
    <row r="53" spans="1:12" ht="13.8">
      <c r="A53" s="172"/>
      <c r="B53" s="201"/>
      <c r="C53" s="172"/>
      <c r="E53" s="158"/>
      <c r="F53" s="158"/>
      <c r="G53" s="158"/>
      <c r="H53" s="158"/>
      <c r="I53" s="158"/>
      <c r="J53" s="158"/>
      <c r="K53" s="158"/>
      <c r="L53" s="158"/>
    </row>
    <row r="54" spans="1:12" ht="13.8">
      <c r="A54" s="172"/>
      <c r="B54" s="195"/>
      <c r="C54" s="200"/>
      <c r="E54" s="158"/>
      <c r="F54" s="158"/>
      <c r="G54" s="158"/>
      <c r="H54" s="158"/>
      <c r="I54" s="158"/>
      <c r="J54" s="158"/>
      <c r="K54" s="158"/>
      <c r="L54" s="158"/>
    </row>
    <row r="55" spans="1:12" ht="13.8">
      <c r="A55" s="172"/>
      <c r="B55" s="201"/>
      <c r="C55" s="172"/>
      <c r="E55" s="158"/>
      <c r="F55" s="158"/>
      <c r="G55" s="158"/>
      <c r="H55" s="158"/>
      <c r="I55" s="158"/>
      <c r="J55" s="158"/>
      <c r="K55" s="158"/>
      <c r="L55" s="158"/>
    </row>
    <row r="56" spans="1:12" ht="13.8">
      <c r="A56" s="172"/>
      <c r="B56" s="195"/>
      <c r="C56" s="200"/>
      <c r="E56" s="158"/>
      <c r="F56" s="158"/>
      <c r="G56" s="158"/>
      <c r="H56" s="158"/>
      <c r="I56" s="158"/>
      <c r="J56" s="158"/>
      <c r="K56" s="158"/>
      <c r="L56" s="158"/>
    </row>
    <row r="57" spans="1:12" ht="16.8">
      <c r="A57" s="198"/>
      <c r="B57" s="158"/>
      <c r="C57" s="158"/>
      <c r="E57" s="158"/>
      <c r="F57" s="158"/>
      <c r="G57" s="158"/>
      <c r="H57" s="158"/>
      <c r="I57" s="158"/>
      <c r="J57" s="158"/>
      <c r="K57" s="158"/>
      <c r="L57" s="158"/>
    </row>
    <row r="58" spans="1:12">
      <c r="A58" s="158"/>
      <c r="B58" s="158"/>
      <c r="C58" s="158"/>
      <c r="E58" s="158"/>
      <c r="F58" s="158"/>
      <c r="G58" s="158"/>
      <c r="H58" s="158"/>
      <c r="I58" s="158"/>
      <c r="J58" s="158"/>
      <c r="K58" s="158"/>
      <c r="L58" s="158"/>
    </row>
    <row r="59" spans="1:12">
      <c r="A59" s="158"/>
      <c r="B59" s="158"/>
      <c r="C59" s="158"/>
      <c r="E59" s="158"/>
      <c r="F59" s="158"/>
      <c r="G59" s="158"/>
      <c r="H59" s="158"/>
      <c r="I59" s="158"/>
      <c r="J59" s="158"/>
      <c r="K59" s="158"/>
      <c r="L59" s="158"/>
    </row>
    <row r="60" spans="1:12">
      <c r="A60" s="202"/>
      <c r="B60" s="158"/>
      <c r="C60" s="158"/>
      <c r="E60" s="158"/>
      <c r="F60" s="158"/>
      <c r="G60" s="158"/>
      <c r="H60" s="158"/>
      <c r="I60" s="158"/>
      <c r="J60" s="158"/>
      <c r="K60" s="158"/>
      <c r="L60" s="158"/>
    </row>
    <row r="61" spans="1:12">
      <c r="A61" s="158"/>
      <c r="B61" s="158"/>
      <c r="C61" s="158"/>
      <c r="E61" s="158"/>
    </row>
    <row r="62" spans="1:12">
      <c r="A62" s="158"/>
      <c r="B62" s="158"/>
      <c r="C62" s="158"/>
      <c r="E62" s="158"/>
    </row>
    <row r="63" spans="1:12">
      <c r="A63" s="158"/>
      <c r="B63" s="158"/>
      <c r="C63" s="158"/>
      <c r="E63" s="158"/>
    </row>
    <row r="64" spans="1:12">
      <c r="A64" s="158"/>
      <c r="B64" s="158"/>
      <c r="C64" s="158"/>
      <c r="E64" s="158"/>
    </row>
    <row r="65" spans="1:5">
      <c r="A65" s="158"/>
      <c r="B65" s="158"/>
      <c r="C65" s="158"/>
      <c r="E65" s="158"/>
    </row>
    <row r="66" spans="1:5">
      <c r="A66" s="158"/>
      <c r="B66" s="158"/>
      <c r="C66" s="158"/>
      <c r="E66" s="158"/>
    </row>
    <row r="67" spans="1:5">
      <c r="A67" s="158"/>
      <c r="B67" s="158"/>
      <c r="C67" s="158"/>
      <c r="E67" s="158"/>
    </row>
    <row r="68" spans="1:5">
      <c r="A68" s="158"/>
      <c r="B68" s="158"/>
      <c r="C68" s="158"/>
      <c r="E68" s="158"/>
    </row>
    <row r="69" spans="1:5">
      <c r="A69" s="158"/>
      <c r="B69" s="158"/>
      <c r="C69" s="158"/>
      <c r="E69" s="158"/>
    </row>
  </sheetData>
  <mergeCells count="1">
    <mergeCell ref="A8:C8"/>
  </mergeCells>
  <pageMargins left="0.90551181102362199" right="0.51181102362204722" top="0.74803149606299213" bottom="0.74803149606299213" header="0.31496062992125984" footer="0.31496062992125984"/>
  <pageSetup paperSize="9"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39"/>
  <sheetViews>
    <sheetView workbookViewId="0">
      <selection activeCell="B12" sqref="B12"/>
    </sheetView>
  </sheetViews>
  <sheetFormatPr defaultColWidth="9.109375" defaultRowHeight="13.2"/>
  <cols>
    <col min="1" max="1" width="8.5546875" style="1" customWidth="1"/>
    <col min="2" max="2" width="67.109375" style="1" customWidth="1"/>
    <col min="3" max="3" width="13.6640625" style="1" customWidth="1"/>
    <col min="4" max="4" width="10.33203125" style="1" customWidth="1"/>
    <col min="5" max="5" width="13.6640625" style="1" customWidth="1"/>
    <col min="6" max="16384" width="9.109375" style="1"/>
  </cols>
  <sheetData>
    <row r="1" spans="1:3">
      <c r="A1" s="108" t="s">
        <v>243</v>
      </c>
    </row>
    <row r="3" spans="1:3">
      <c r="A3" s="1" t="s">
        <v>213</v>
      </c>
    </row>
    <row r="4" spans="1:3">
      <c r="A4" s="278" t="s">
        <v>209</v>
      </c>
    </row>
    <row r="5" spans="1:3" ht="25.5" customHeight="1">
      <c r="A5" s="656" t="s">
        <v>258</v>
      </c>
      <c r="B5" s="655"/>
      <c r="C5" s="655"/>
    </row>
    <row r="6" spans="1:3">
      <c r="A6" s="1" t="s">
        <v>210</v>
      </c>
    </row>
    <row r="7" spans="1:3" ht="26.25" customHeight="1">
      <c r="A7" s="655" t="s">
        <v>211</v>
      </c>
      <c r="B7" s="655"/>
      <c r="C7" s="655"/>
    </row>
    <row r="8" spans="1:3">
      <c r="A8" s="1" t="s">
        <v>212</v>
      </c>
    </row>
    <row r="9" spans="1:3">
      <c r="A9" s="307" t="s">
        <v>244</v>
      </c>
    </row>
    <row r="10" spans="1:3" ht="13.8" thickBot="1"/>
    <row r="11" spans="1:3" ht="17.399999999999999">
      <c r="B11" s="653" t="s">
        <v>511</v>
      </c>
      <c r="C11" s="654"/>
    </row>
    <row r="12" spans="1:3" ht="13.8">
      <c r="A12" s="158"/>
      <c r="B12" s="157" t="s">
        <v>208</v>
      </c>
      <c r="C12" s="203"/>
    </row>
    <row r="13" spans="1:3" ht="13.8">
      <c r="A13" s="158"/>
      <c r="B13" s="159" t="s">
        <v>127</v>
      </c>
      <c r="C13" s="160">
        <v>1932</v>
      </c>
    </row>
    <row r="14" spans="1:3" ht="13.8">
      <c r="A14" s="158"/>
      <c r="B14" s="161" t="s">
        <v>128</v>
      </c>
      <c r="C14" s="160">
        <v>2197</v>
      </c>
    </row>
    <row r="15" spans="1:3" ht="13.8">
      <c r="A15" s="158"/>
      <c r="B15" s="204" t="s">
        <v>129</v>
      </c>
      <c r="C15" s="205">
        <v>25</v>
      </c>
    </row>
    <row r="16" spans="1:3" ht="13.8">
      <c r="A16" s="158"/>
      <c r="B16" s="204" t="s">
        <v>130</v>
      </c>
      <c r="C16" s="205">
        <v>1463</v>
      </c>
    </row>
    <row r="17" spans="1:5" ht="13.8">
      <c r="A17" s="158"/>
      <c r="B17" s="204" t="s">
        <v>131</v>
      </c>
      <c r="C17" s="205">
        <v>321</v>
      </c>
    </row>
    <row r="18" spans="1:5" ht="13.8">
      <c r="A18" s="158"/>
      <c r="B18" s="204" t="s">
        <v>132</v>
      </c>
      <c r="C18" s="205">
        <v>12</v>
      </c>
    </row>
    <row r="19" spans="1:5" ht="13.8">
      <c r="A19" s="158"/>
      <c r="B19" s="204" t="s">
        <v>133</v>
      </c>
      <c r="C19" s="205">
        <v>339</v>
      </c>
    </row>
    <row r="20" spans="1:5" ht="13.8">
      <c r="A20" s="158"/>
      <c r="B20" s="204" t="s">
        <v>134</v>
      </c>
      <c r="C20" s="205">
        <v>0</v>
      </c>
    </row>
    <row r="21" spans="1:5" ht="13.8">
      <c r="A21" s="158"/>
      <c r="B21" s="204" t="s">
        <v>135</v>
      </c>
      <c r="C21" s="205">
        <v>22</v>
      </c>
    </row>
    <row r="22" spans="1:5" ht="13.8">
      <c r="A22" s="158"/>
      <c r="B22" s="206" t="s">
        <v>136</v>
      </c>
      <c r="C22" s="207">
        <v>0</v>
      </c>
    </row>
    <row r="23" spans="1:5" ht="13.8">
      <c r="A23" s="158"/>
      <c r="B23" s="313" t="s">
        <v>301</v>
      </c>
      <c r="C23" s="207">
        <v>0</v>
      </c>
    </row>
    <row r="24" spans="1:5" ht="13.8">
      <c r="A24" s="158" t="s">
        <v>137</v>
      </c>
      <c r="B24" s="157" t="s">
        <v>138</v>
      </c>
      <c r="C24" s="203"/>
    </row>
    <row r="25" spans="1:5" ht="13.8">
      <c r="A25" s="158"/>
      <c r="B25" s="208" t="s">
        <v>302</v>
      </c>
      <c r="C25" s="209">
        <v>5183</v>
      </c>
    </row>
    <row r="26" spans="1:5" ht="13.8">
      <c r="A26" s="158"/>
      <c r="B26" s="204" t="s">
        <v>303</v>
      </c>
      <c r="C26" s="205">
        <v>4918</v>
      </c>
    </row>
    <row r="27" spans="1:5" ht="13.8">
      <c r="B27" s="204" t="s">
        <v>304</v>
      </c>
      <c r="C27" s="306">
        <f>C13-C14</f>
        <v>-265</v>
      </c>
    </row>
    <row r="28" spans="1:5" ht="13.8">
      <c r="B28" s="210"/>
      <c r="C28" s="211"/>
    </row>
    <row r="29" spans="1:5" s="108" customFormat="1" ht="13.8">
      <c r="B29" s="159" t="s">
        <v>140</v>
      </c>
      <c r="C29" s="212">
        <f>MEDIAN(C25,C26)</f>
        <v>5050.5</v>
      </c>
    </row>
    <row r="30" spans="1:5" ht="13.8">
      <c r="B30" s="161" t="s">
        <v>299</v>
      </c>
      <c r="C30" s="311">
        <f>C16/C29</f>
        <v>0.28967428967428965</v>
      </c>
    </row>
    <row r="31" spans="1:5" ht="13.8">
      <c r="B31" s="161" t="s">
        <v>300</v>
      </c>
      <c r="C31" s="311">
        <f>MEDIAN(C13,C14)/C29</f>
        <v>0.40877140877140877</v>
      </c>
      <c r="E31" s="278"/>
    </row>
    <row r="32" spans="1:5" s="108" customFormat="1" ht="13.8">
      <c r="B32" s="161" t="s">
        <v>250</v>
      </c>
      <c r="C32" s="309">
        <f>12/C31</f>
        <v>29.356260595785905</v>
      </c>
    </row>
    <row r="33" spans="2:3" ht="13.8">
      <c r="B33" s="161" t="s">
        <v>139</v>
      </c>
      <c r="C33" s="163">
        <v>360</v>
      </c>
    </row>
    <row r="34" spans="2:3" ht="13.8">
      <c r="B34" s="161" t="s">
        <v>245</v>
      </c>
      <c r="C34" s="163">
        <v>10</v>
      </c>
    </row>
    <row r="35" spans="2:3" ht="13.8">
      <c r="B35" s="159" t="s">
        <v>246</v>
      </c>
      <c r="C35" s="162">
        <v>30</v>
      </c>
    </row>
    <row r="36" spans="2:3" ht="13.8">
      <c r="B36" s="159" t="s">
        <v>247</v>
      </c>
      <c r="C36" s="162">
        <v>30</v>
      </c>
    </row>
    <row r="37" spans="2:3" s="108" customFormat="1" ht="13.8">
      <c r="B37" s="159" t="s">
        <v>142</v>
      </c>
      <c r="C37" s="162">
        <f>30+(3*TRUNC(1/C31))</f>
        <v>36</v>
      </c>
    </row>
    <row r="38" spans="2:3" s="108" customFormat="1" ht="13.8">
      <c r="B38" s="161" t="s">
        <v>44</v>
      </c>
      <c r="C38" s="310">
        <v>0.08</v>
      </c>
    </row>
    <row r="39" spans="2:3" s="108" customFormat="1" ht="14.4" thickBot="1">
      <c r="B39" s="164" t="s">
        <v>141</v>
      </c>
      <c r="C39" s="312">
        <v>0.5</v>
      </c>
    </row>
  </sheetData>
  <mergeCells count="3">
    <mergeCell ref="B11:C11"/>
    <mergeCell ref="A7:C7"/>
    <mergeCell ref="A5:C5"/>
  </mergeCells>
  <pageMargins left="0.90551181102362199" right="0.51181102362204722" top="0.74803149606299213" bottom="0.74803149606299213" header="0.31496062992125984" footer="0.31496062992125984"/>
  <pageSetup paperSize="9" scale="98"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25"/>
  <sheetViews>
    <sheetView workbookViewId="0"/>
  </sheetViews>
  <sheetFormatPr defaultRowHeight="13.2"/>
  <cols>
    <col min="1" max="1" width="41.88671875" bestFit="1" customWidth="1"/>
    <col min="2" max="2" width="5.5546875" bestFit="1" customWidth="1"/>
    <col min="4" max="4" width="9.6640625" bestFit="1" customWidth="1"/>
    <col min="5" max="5" width="8" style="122" bestFit="1" customWidth="1"/>
    <col min="6" max="6" width="9.6640625" bestFit="1" customWidth="1"/>
  </cols>
  <sheetData>
    <row r="1" spans="1:8" s="147" customFormat="1" ht="13.8">
      <c r="A1" s="11" t="s">
        <v>205</v>
      </c>
      <c r="B1" s="145"/>
      <c r="C1" s="145"/>
      <c r="E1" s="148"/>
    </row>
    <row r="2" spans="1:8" s="147" customFormat="1" ht="13.8">
      <c r="A2" s="140" t="s">
        <v>251</v>
      </c>
      <c r="B2" s="145"/>
      <c r="C2" s="145"/>
      <c r="E2" s="148"/>
    </row>
    <row r="3" spans="1:8" s="147" customFormat="1" ht="13.8">
      <c r="A3" s="9" t="s">
        <v>206</v>
      </c>
      <c r="B3" s="145"/>
      <c r="C3" s="145"/>
      <c r="E3" s="148"/>
    </row>
    <row r="4" spans="1:8" s="147" customFormat="1" ht="13.8">
      <c r="A4" s="9"/>
      <c r="B4" s="145"/>
      <c r="C4" s="145"/>
      <c r="E4" s="148"/>
    </row>
    <row r="5" spans="1:8" s="4" customFormat="1" ht="15.6" hidden="1" customHeight="1">
      <c r="A5" s="305" t="s">
        <v>298</v>
      </c>
      <c r="B5" s="139"/>
      <c r="C5" s="139"/>
      <c r="D5" s="139"/>
      <c r="E5" s="139"/>
      <c r="F5" s="139"/>
      <c r="G5" s="6"/>
    </row>
    <row r="6" spans="1:8" s="4" customFormat="1" ht="16.5" customHeight="1">
      <c r="A6" s="349" t="s">
        <v>316</v>
      </c>
      <c r="B6" s="5"/>
      <c r="C6" s="5"/>
      <c r="D6" s="6"/>
      <c r="E6" s="6"/>
      <c r="F6" s="6"/>
      <c r="G6" s="6"/>
    </row>
    <row r="7" spans="1:8" s="4" customFormat="1" ht="16.5" customHeight="1">
      <c r="A7" s="349" t="s">
        <v>317</v>
      </c>
      <c r="B7" s="5"/>
      <c r="C7" s="5"/>
      <c r="D7" s="6"/>
      <c r="E7" s="6"/>
      <c r="F7" s="6"/>
      <c r="G7" s="6"/>
    </row>
    <row r="8" spans="1:8" s="147" customFormat="1" ht="14.4" thickBot="1">
      <c r="B8" s="145"/>
      <c r="C8" s="145"/>
      <c r="E8" s="148"/>
    </row>
    <row r="9" spans="1:8" ht="15.6">
      <c r="A9" s="662" t="s">
        <v>512</v>
      </c>
      <c r="B9" s="663"/>
      <c r="C9" s="663"/>
      <c r="D9" s="663"/>
      <c r="E9" s="663"/>
      <c r="F9" s="664"/>
    </row>
    <row r="10" spans="1:8" ht="16.2" thickBot="1">
      <c r="A10" s="263"/>
      <c r="B10" s="264"/>
      <c r="C10" s="264"/>
      <c r="D10" s="264"/>
      <c r="E10" s="264"/>
      <c r="F10" s="265"/>
    </row>
    <row r="11" spans="1:8" ht="13.8">
      <c r="A11" s="213"/>
      <c r="B11" s="146"/>
      <c r="C11" s="146"/>
      <c r="D11" s="659" t="s">
        <v>248</v>
      </c>
      <c r="E11" s="660"/>
      <c r="F11" s="661"/>
      <c r="G11" s="147"/>
      <c r="H11" s="147"/>
    </row>
    <row r="12" spans="1:8" ht="14.4" thickBot="1">
      <c r="A12" s="210"/>
      <c r="B12" s="214"/>
      <c r="C12" s="214"/>
      <c r="D12" s="215" t="s">
        <v>192</v>
      </c>
      <c r="E12" s="216" t="s">
        <v>193</v>
      </c>
      <c r="F12" s="217" t="s">
        <v>194</v>
      </c>
      <c r="G12" s="147"/>
      <c r="H12" s="147"/>
    </row>
    <row r="13" spans="1:8" ht="13.8">
      <c r="A13" s="218" t="s">
        <v>78</v>
      </c>
      <c r="B13" s="219" t="s">
        <v>79</v>
      </c>
      <c r="C13" s="220">
        <v>0.05</v>
      </c>
      <c r="D13" s="241">
        <v>2.9700000000000001E-2</v>
      </c>
      <c r="E13" s="242">
        <v>5.0799999999999998E-2</v>
      </c>
      <c r="F13" s="243">
        <v>6.2700000000000006E-2</v>
      </c>
      <c r="G13" s="147"/>
      <c r="H13" s="147"/>
    </row>
    <row r="14" spans="1:8" ht="13.8">
      <c r="A14" s="222" t="s">
        <v>80</v>
      </c>
      <c r="B14" s="223" t="s">
        <v>81</v>
      </c>
      <c r="C14" s="224">
        <v>8.6E-3</v>
      </c>
      <c r="D14" s="241">
        <f>0.3%+0.56%</f>
        <v>8.6E-3</v>
      </c>
      <c r="E14" s="242">
        <f>0.48%+0.85%</f>
        <v>1.3299999999999999E-2</v>
      </c>
      <c r="F14" s="243">
        <f>0.82%+0.89%</f>
        <v>1.7099999999999997E-2</v>
      </c>
      <c r="G14" s="147"/>
      <c r="H14" s="147"/>
    </row>
    <row r="15" spans="1:8" ht="13.8">
      <c r="A15" s="222" t="s">
        <v>82</v>
      </c>
      <c r="B15" s="223" t="s">
        <v>83</v>
      </c>
      <c r="C15" s="224">
        <v>0.1</v>
      </c>
      <c r="D15" s="241">
        <v>7.7799999999999994E-2</v>
      </c>
      <c r="E15" s="242">
        <v>0.1085</v>
      </c>
      <c r="F15" s="243">
        <v>0.13550000000000001</v>
      </c>
      <c r="G15" s="147"/>
      <c r="H15" s="147"/>
    </row>
    <row r="16" spans="1:8" ht="13.8">
      <c r="A16" s="222" t="s">
        <v>84</v>
      </c>
      <c r="B16" s="223" t="s">
        <v>85</v>
      </c>
      <c r="C16" s="225">
        <f>(1+E16)^(E17/252)-1</f>
        <v>7.8612737978200897E-4</v>
      </c>
      <c r="D16" s="241" t="s">
        <v>286</v>
      </c>
      <c r="E16" s="226">
        <v>0.02</v>
      </c>
      <c r="F16" s="221"/>
      <c r="G16" s="147"/>
      <c r="H16" s="147"/>
    </row>
    <row r="17" spans="1:8" ht="13.8">
      <c r="A17" s="222" t="s">
        <v>86</v>
      </c>
      <c r="B17" s="657" t="s">
        <v>87</v>
      </c>
      <c r="C17" s="224">
        <v>0.03</v>
      </c>
      <c r="D17" s="302" t="s">
        <v>195</v>
      </c>
      <c r="E17" s="227">
        <v>10</v>
      </c>
      <c r="F17" s="228"/>
      <c r="G17" s="147"/>
      <c r="H17" s="147"/>
    </row>
    <row r="18" spans="1:8" ht="14.4" thickBot="1">
      <c r="A18" s="229" t="s">
        <v>398</v>
      </c>
      <c r="B18" s="658"/>
      <c r="C18" s="230">
        <v>3.6499999999999998E-2</v>
      </c>
      <c r="D18" s="204"/>
      <c r="E18" s="231"/>
      <c r="F18" s="228"/>
      <c r="G18" s="147"/>
      <c r="H18" s="147"/>
    </row>
    <row r="19" spans="1:8" ht="13.8">
      <c r="A19" s="232" t="s">
        <v>88</v>
      </c>
      <c r="B19" s="233"/>
      <c r="C19" s="234"/>
      <c r="D19" s="204"/>
      <c r="E19" s="231"/>
      <c r="F19" s="228"/>
      <c r="G19" s="147"/>
      <c r="H19" s="147"/>
    </row>
    <row r="20" spans="1:8" ht="14.4" thickBot="1">
      <c r="A20" s="235" t="s">
        <v>89</v>
      </c>
      <c r="B20" s="236"/>
      <c r="C20" s="237"/>
      <c r="D20" s="204"/>
      <c r="E20" s="231"/>
      <c r="F20" s="228"/>
      <c r="G20" s="147"/>
      <c r="H20" s="147"/>
    </row>
    <row r="21" spans="1:8" ht="14.4" thickBot="1">
      <c r="A21" s="238" t="s">
        <v>90</v>
      </c>
      <c r="B21" s="239"/>
      <c r="C21" s="240">
        <f>ROUND((((1+C13+C14)*(1+C15)*(1+C16))/(1-(C17+C18))-1),4)</f>
        <v>0.24840000000000001</v>
      </c>
      <c r="D21" s="244">
        <v>0.21429999999999999</v>
      </c>
      <c r="E21" s="245">
        <v>0.2717</v>
      </c>
      <c r="F21" s="246">
        <v>0.3362</v>
      </c>
      <c r="G21" s="147"/>
      <c r="H21" s="147"/>
    </row>
    <row r="22" spans="1:8" ht="13.8">
      <c r="A22" s="147"/>
      <c r="B22" s="147"/>
      <c r="C22" s="147"/>
      <c r="D22" s="147"/>
      <c r="E22" s="148"/>
      <c r="F22" s="147"/>
      <c r="G22" s="147"/>
      <c r="H22" s="147"/>
    </row>
    <row r="23" spans="1:8" ht="13.8">
      <c r="A23" s="147"/>
      <c r="B23" s="147"/>
      <c r="C23" s="147"/>
      <c r="D23" s="147"/>
      <c r="E23" s="148"/>
      <c r="F23" s="147"/>
      <c r="G23" s="147"/>
      <c r="H23" s="147"/>
    </row>
    <row r="24" spans="1:8" ht="13.8">
      <c r="A24" s="147"/>
      <c r="B24" s="147"/>
      <c r="C24" s="147"/>
      <c r="D24" s="147"/>
      <c r="E24" s="148"/>
      <c r="F24" s="147"/>
      <c r="G24" s="147"/>
      <c r="H24" s="147"/>
    </row>
    <row r="25" spans="1:8" ht="13.8">
      <c r="A25" s="147"/>
      <c r="B25" s="147"/>
      <c r="C25" s="147"/>
      <c r="D25" s="147"/>
      <c r="E25" s="148"/>
      <c r="F25" s="147"/>
      <c r="G25" s="147"/>
      <c r="H25" s="147"/>
    </row>
  </sheetData>
  <mergeCells count="3">
    <mergeCell ref="B17:B18"/>
    <mergeCell ref="D11:F11"/>
    <mergeCell ref="A9:F9"/>
  </mergeCells>
  <pageMargins left="0.90551181102362199" right="0.51181102362204722" top="0.74803149606299213" bottom="0.74803149606299213" header="0.31496062992125984" footer="0.31496062992125984"/>
  <pageSetup paperSize="9" orientation="portrait" verticalDpi="30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G20"/>
  <sheetViews>
    <sheetView workbookViewId="0"/>
  </sheetViews>
  <sheetFormatPr defaultRowHeight="14.4"/>
  <cols>
    <col min="1" max="1" width="18.33203125" style="317" customWidth="1"/>
    <col min="2" max="2" width="21.33203125" style="317" bestFit="1" customWidth="1"/>
    <col min="3" max="3" width="14.77734375" style="317" customWidth="1"/>
    <col min="4" max="4" width="15.44140625" style="317" customWidth="1"/>
    <col min="5" max="5" width="8.88671875" style="317"/>
    <col min="6" max="7" width="11.44140625" style="317" hidden="1" customWidth="1"/>
    <col min="8" max="8" width="11.44140625" style="317" bestFit="1" customWidth="1"/>
    <col min="9" max="9" width="8.88671875" style="317"/>
    <col min="10" max="11" width="11.33203125" style="317" bestFit="1" customWidth="1"/>
    <col min="12" max="16384" width="8.88671875" style="317"/>
  </cols>
  <sheetData>
    <row r="1" spans="1:7" ht="15.6">
      <c r="A1" s="353" t="s">
        <v>444</v>
      </c>
    </row>
    <row r="2" spans="1:7" ht="15.6">
      <c r="A2" s="353" t="s">
        <v>557</v>
      </c>
    </row>
    <row r="3" spans="1:7" ht="15.6">
      <c r="A3" s="353" t="s">
        <v>443</v>
      </c>
    </row>
    <row r="4" spans="1:7">
      <c r="A4" s="316"/>
    </row>
    <row r="5" spans="1:7">
      <c r="A5" s="665" t="s">
        <v>556</v>
      </c>
      <c r="B5" s="666"/>
      <c r="C5" s="666"/>
      <c r="D5" s="667"/>
      <c r="F5" s="318" t="s">
        <v>320</v>
      </c>
      <c r="G5" s="318" t="s">
        <v>320</v>
      </c>
    </row>
    <row r="6" spans="1:7">
      <c r="A6" s="319" t="s">
        <v>321</v>
      </c>
      <c r="B6" s="319" t="s">
        <v>497</v>
      </c>
      <c r="C6" s="319" t="s">
        <v>372</v>
      </c>
      <c r="D6" s="319" t="s">
        <v>374</v>
      </c>
      <c r="F6" s="320">
        <v>108.51</v>
      </c>
      <c r="G6" s="320"/>
    </row>
    <row r="7" spans="1:7">
      <c r="A7" s="491">
        <v>1</v>
      </c>
      <c r="B7" s="321">
        <v>10005</v>
      </c>
      <c r="C7" s="355">
        <v>0.5</v>
      </c>
      <c r="D7" s="356">
        <f>B7*C7*30/1000</f>
        <v>150.07499999999999</v>
      </c>
      <c r="F7" s="320"/>
      <c r="G7" s="320"/>
    </row>
    <row r="8" spans="1:7">
      <c r="A8" s="492"/>
      <c r="B8" s="493"/>
      <c r="C8" s="494"/>
      <c r="D8" s="356"/>
      <c r="F8" s="495"/>
      <c r="G8" s="495"/>
    </row>
    <row r="9" spans="1:7">
      <c r="A9" s="665" t="s">
        <v>373</v>
      </c>
      <c r="B9" s="667"/>
      <c r="C9" s="351"/>
      <c r="D9" s="357">
        <f>(D7)*12</f>
        <v>1800.8999999999999</v>
      </c>
    </row>
    <row r="10" spans="1:7">
      <c r="A10" s="523" t="s">
        <v>496</v>
      </c>
    </row>
    <row r="11" spans="1:7">
      <c r="A11" s="496"/>
    </row>
    <row r="12" spans="1:7">
      <c r="A12" s="495"/>
      <c r="B12" s="495"/>
      <c r="C12" s="495"/>
      <c r="D12" s="495"/>
      <c r="E12" s="495"/>
    </row>
    <row r="13" spans="1:7">
      <c r="A13" s="354"/>
      <c r="B13" s="524"/>
      <c r="C13" s="495"/>
      <c r="D13" s="525"/>
      <c r="E13" s="495"/>
      <c r="F13" s="323"/>
    </row>
    <row r="14" spans="1:7">
      <c r="A14" s="354"/>
      <c r="B14" s="524"/>
      <c r="C14" s="495"/>
      <c r="D14" s="525"/>
      <c r="E14" s="495"/>
      <c r="F14" s="322"/>
    </row>
    <row r="15" spans="1:7">
      <c r="A15" s="495"/>
      <c r="B15" s="495"/>
      <c r="C15" s="495"/>
      <c r="D15" s="495"/>
      <c r="E15" s="495"/>
    </row>
    <row r="16" spans="1:7">
      <c r="A16" s="495"/>
      <c r="B16" s="495"/>
      <c r="C16" s="495"/>
      <c r="D16" s="495"/>
      <c r="E16" s="495"/>
      <c r="F16" s="324"/>
    </row>
    <row r="17" spans="1:5">
      <c r="A17" s="495"/>
      <c r="B17" s="526"/>
      <c r="C17" s="527"/>
      <c r="D17" s="528"/>
      <c r="E17" s="495"/>
    </row>
    <row r="18" spans="1:5">
      <c r="A18" s="495"/>
      <c r="B18" s="495"/>
      <c r="C18" s="495"/>
      <c r="D18" s="495"/>
      <c r="E18" s="495"/>
    </row>
    <row r="19" spans="1:5">
      <c r="A19" s="495"/>
      <c r="B19" s="495"/>
      <c r="C19" s="495"/>
      <c r="D19" s="529"/>
      <c r="E19" s="495"/>
    </row>
    <row r="20" spans="1:5">
      <c r="A20" s="495"/>
      <c r="B20" s="495"/>
      <c r="C20" s="495"/>
      <c r="D20" s="495"/>
      <c r="E20" s="495"/>
    </row>
  </sheetData>
  <mergeCells count="2">
    <mergeCell ref="A5:D5"/>
    <mergeCell ref="A9:B9"/>
  </mergeCells>
  <pageMargins left="0.511811024" right="0.511811024" top="0.78740157499999996" bottom="0.78740157499999996" header="0.31496062000000002" footer="0.31496062000000002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14</vt:i4>
      </vt:variant>
      <vt:variant>
        <vt:lpstr>Intervalos nomeados</vt:lpstr>
      </vt:variant>
      <vt:variant>
        <vt:i4>10</vt:i4>
      </vt:variant>
    </vt:vector>
  </HeadingPairs>
  <TitlesOfParts>
    <vt:vector size="24" baseType="lpstr">
      <vt:lpstr>1. Coleta Dom</vt:lpstr>
      <vt:lpstr>2. Coleta Seletiva</vt:lpstr>
      <vt:lpstr>3. Contentores</vt:lpstr>
      <vt:lpstr>4. Destino Final</vt:lpstr>
      <vt:lpstr>Resumo</vt:lpstr>
      <vt:lpstr>5.Enc Sociais</vt:lpstr>
      <vt:lpstr>6.CAGED</vt:lpstr>
      <vt:lpstr>7.BDI</vt:lpstr>
      <vt:lpstr>Ton</vt:lpstr>
      <vt:lpstr>Horários</vt:lpstr>
      <vt:lpstr>Roteiros</vt:lpstr>
      <vt:lpstr>8. Depr</vt:lpstr>
      <vt:lpstr>9. Rem capital</vt:lpstr>
      <vt:lpstr>10. Dimens</vt:lpstr>
      <vt:lpstr>AbaDeprec</vt:lpstr>
      <vt:lpstr>AbaRemun</vt:lpstr>
      <vt:lpstr>'1. Coleta Dom'!Area_de_impressao</vt:lpstr>
      <vt:lpstr>'2. Coleta Seletiva'!Area_de_impressao</vt:lpstr>
      <vt:lpstr>'3. Contentores'!Area_de_impressao</vt:lpstr>
      <vt:lpstr>'4. Destino Final'!Area_de_impressao</vt:lpstr>
      <vt:lpstr>'5.Enc Sociais'!Area_de_impressao</vt:lpstr>
      <vt:lpstr>'1. Coleta Dom'!Titulos_de_impressao</vt:lpstr>
      <vt:lpstr>'2. Coleta Seletiva'!Titulos_de_impressao</vt:lpstr>
      <vt:lpstr>'3. Contentores'!Titulos_de_impressao</vt:lpstr>
    </vt:vector>
  </TitlesOfParts>
  <Company>dmlu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de Custos Coleta e Transporte RSU</dc:title>
  <dc:creator>Flavia Burmeister Martins</dc:creator>
  <cp:lastModifiedBy>Edgar</cp:lastModifiedBy>
  <cp:lastPrinted>2020-09-08T11:55:18Z</cp:lastPrinted>
  <dcterms:created xsi:type="dcterms:W3CDTF">2000-12-13T10:02:50Z</dcterms:created>
  <dcterms:modified xsi:type="dcterms:W3CDTF">2020-10-01T11:18:00Z</dcterms:modified>
</cp:coreProperties>
</file>